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85" windowHeight="7275" activeTab="1"/>
  </bookViews>
  <sheets>
    <sheet name="LCNT" sheetId="1" r:id="rId1"/>
    <sheet name="Tong du toan" sheetId="2" r:id="rId2"/>
    <sheet name="CP Xay lap" sheetId="3" r:id="rId3"/>
    <sheet name="Du toan chi tiet" sheetId="4" r:id="rId4"/>
    <sheet name="Phan tich don gia" sheetId="5" r:id="rId5"/>
    <sheet name="Gia NC,CM" sheetId="6" r:id="rId6"/>
    <sheet name="Gia VL" sheetId="7" r:id="rId7"/>
    <sheet name="KL,Tien luong" sheetId="8" r:id="rId8"/>
    <sheet name="Tong hop KL VL,NC,M" sheetId="9" r:id="rId9"/>
    <sheet name="Phan tich KL VL,NC,M" sheetId="10" r:id="rId10"/>
  </sheets>
  <definedNames>
    <definedName name="_xlnm.Print_Titles" localSheetId="2">'CP Xay lap'!$7:$7</definedName>
    <definedName name="_xlnm.Print_Titles" localSheetId="3">'Du toan chi tiet'!$7:$8</definedName>
    <definedName name="_xlnm.Print_Titles" localSheetId="5">'Gia NC,CM'!$7:$7</definedName>
    <definedName name="_xlnm.Print_Titles" localSheetId="6">'Gia VL'!$7:$7</definedName>
    <definedName name="_xlnm.Print_Titles" localSheetId="7">'KL,Tien luong'!$7:$7</definedName>
    <definedName name="_xlnm.Print_Titles" localSheetId="4">'Phan tich don gia'!$7:$7</definedName>
    <definedName name="_xlnm.Print_Titles" localSheetId="9">'Phan tich KL VL,NC,M'!$7:$7</definedName>
    <definedName name="_xlnm.Print_Titles" localSheetId="1">'Tong du toan'!$11:$11</definedName>
    <definedName name="_xlnm.Print_Titles" localSheetId="8">'Tong hop KL VL,NC,M'!$7:$7</definedName>
  </definedNames>
  <calcPr fullCalcOnLoad="1"/>
</workbook>
</file>

<file path=xl/sharedStrings.xml><?xml version="1.0" encoding="utf-8"?>
<sst xmlns="http://schemas.openxmlformats.org/spreadsheetml/2006/main" count="3868" uniqueCount="623">
  <si>
    <t/>
  </si>
  <si>
    <t>*\1- §iÖn chiÕu s¸ng:</t>
  </si>
  <si>
    <t>1</t>
  </si>
  <si>
    <t>AB.25103</t>
  </si>
  <si>
    <t>§µo mãng cét ®Ìn, tñ ®iÖn b»ng m¸y ®µo &lt;= 0.4m3</t>
  </si>
  <si>
    <t>1 m3</t>
  </si>
  <si>
    <t>§Êt cÊp III</t>
  </si>
  <si>
    <t xml:space="preserve">   - Nh©n c«ng bËc 3.0/7N1</t>
  </si>
  <si>
    <t>C«ng</t>
  </si>
  <si>
    <t xml:space="preserve">   - M¸y ®µo 0.4m3</t>
  </si>
  <si>
    <t>Ca</t>
  </si>
  <si>
    <t>2</t>
  </si>
  <si>
    <t>AB.11503</t>
  </si>
  <si>
    <t>§µo kªnh r·nh tiÕp ®Þa b»ng thñ c«ng</t>
  </si>
  <si>
    <t>3</t>
  </si>
  <si>
    <t>AF.11110</t>
  </si>
  <si>
    <t>Bª t«ng ®¸ d¨m lãt mãng</t>
  </si>
  <si>
    <t>V÷a bª t«ng ®¸ 4x6 M100</t>
  </si>
  <si>
    <t xml:space="preserve">   - Xi m¨ng PCB30</t>
  </si>
  <si>
    <t>Kg</t>
  </si>
  <si>
    <t xml:space="preserve">   - C¸t ®óc</t>
  </si>
  <si>
    <t>m3</t>
  </si>
  <si>
    <t xml:space="preserve">   - §¸ d¨m 4x6</t>
  </si>
  <si>
    <t xml:space="preserve">   - N­íc</t>
  </si>
  <si>
    <t xml:space="preserve">   - Nh©n c«ng bËc 3.0/7N2</t>
  </si>
  <si>
    <t xml:space="preserve">   - M¸y trén BT 250 l</t>
  </si>
  <si>
    <t xml:space="preserve">   - M¸y ®Çm bµn 1KW</t>
  </si>
  <si>
    <t>4</t>
  </si>
  <si>
    <t>AF.11231</t>
  </si>
  <si>
    <t>Bª t«ng mãng</t>
  </si>
  <si>
    <t>V÷a bª t«ng ®¸ 2x4M150</t>
  </si>
  <si>
    <t xml:space="preserve">   - Xi m¨ng PCB40</t>
  </si>
  <si>
    <t xml:space="preserve">   - §¸ d¨m 2x4</t>
  </si>
  <si>
    <t xml:space="preserve">   - M¸y ®Çm dïi 1.5KW</t>
  </si>
  <si>
    <t>5</t>
  </si>
  <si>
    <t>AF.11212</t>
  </si>
  <si>
    <t>Bª t«ng chÌn mãng</t>
  </si>
  <si>
    <t>V÷a bª t«ng ®¸ 1x2 M200</t>
  </si>
  <si>
    <t xml:space="preserve">   - §¸ d¨m 1x2</t>
  </si>
  <si>
    <t>6</t>
  </si>
  <si>
    <t>AF.81122</t>
  </si>
  <si>
    <t>V¸n khu«n mãng cét</t>
  </si>
  <si>
    <t>1 m2</t>
  </si>
  <si>
    <t xml:space="preserve">   - Gç v¸n</t>
  </si>
  <si>
    <t xml:space="preserve">   - Gç ®µ nÑp</t>
  </si>
  <si>
    <t xml:space="preserve">   - Gç chèng</t>
  </si>
  <si>
    <t xml:space="preserve">   - §inh</t>
  </si>
  <si>
    <t xml:space="preserve">   - Nh©n c«ng bËc 3.5/7N2</t>
  </si>
  <si>
    <t>7</t>
  </si>
  <si>
    <t>AB.65110</t>
  </si>
  <si>
    <t>§¾p ®Êt hè mãng, r·nh tiÕp ®Þa</t>
  </si>
  <si>
    <t>§é chÆt yªu cÇu K=0.85</t>
  </si>
  <si>
    <t xml:space="preserve">   - M¸y ®Çm ®Êt cÇm tay 70kg</t>
  </si>
  <si>
    <t>8</t>
  </si>
  <si>
    <t>BA.21201</t>
  </si>
  <si>
    <t>L¾p dùng cét BTLT NPC.I-8,5-160-3</t>
  </si>
  <si>
    <t>1 Cét</t>
  </si>
  <si>
    <t xml:space="preserve">   - Cét BTLT NPC.I-8,5-160-3</t>
  </si>
  <si>
    <t>Cét</t>
  </si>
  <si>
    <t xml:space="preserve">   - CÇn trôc « t« 3T</t>
  </si>
  <si>
    <t>9</t>
  </si>
  <si>
    <t>BA.21201A</t>
  </si>
  <si>
    <t>L¾p dùng cét BTLT NPC.I-8,5-160-4,3</t>
  </si>
  <si>
    <t xml:space="preserve">   - Cét BTLT NPC.I-8,5-160-4,3</t>
  </si>
  <si>
    <t>10</t>
  </si>
  <si>
    <t>BA.21201c</t>
  </si>
  <si>
    <t>L¾p dùng cét BTLT NPC.I-10-190-4,3</t>
  </si>
  <si>
    <t xml:space="preserve">   - Cét BTLT NPC.I-10-190-4,3</t>
  </si>
  <si>
    <t>11</t>
  </si>
  <si>
    <t>BA.23202a</t>
  </si>
  <si>
    <t>L¾p ®Æt cÇn ®Ìn ch÷ S - CÇn C§-2</t>
  </si>
  <si>
    <t>1 CÇn</t>
  </si>
  <si>
    <t xml:space="preserve">   - CÇn ®Ìn ch÷ S - CÇn C§-2</t>
  </si>
  <si>
    <t>Bé</t>
  </si>
  <si>
    <t xml:space="preserve">   - Tay b¾t cÇn</t>
  </si>
  <si>
    <t>C¸i</t>
  </si>
  <si>
    <t xml:space="preserve">   - Xe n©ng 12m</t>
  </si>
  <si>
    <t>12</t>
  </si>
  <si>
    <t>BA.23202b</t>
  </si>
  <si>
    <t>L¾p ®Æt cÇn ®Ìn ch÷ S - CÇn C§-3</t>
  </si>
  <si>
    <t xml:space="preserve">   - CÇn ®Ìn ch÷ S - CÇn C§-3</t>
  </si>
  <si>
    <t>13</t>
  </si>
  <si>
    <t>BA.23202c</t>
  </si>
  <si>
    <t>L¾p ®Æt cÇn ®Ìn ch÷ S - CÇn C§-4</t>
  </si>
  <si>
    <t xml:space="preserve">   - CÇn ®Ìn ch÷ S - CÇn C§-4</t>
  </si>
  <si>
    <t>14</t>
  </si>
  <si>
    <t>BA.23301</t>
  </si>
  <si>
    <t>L¾p ®Ìn chiÕu s¸ng ®­êng phè Led 70W</t>
  </si>
  <si>
    <t>1 Bé</t>
  </si>
  <si>
    <t xml:space="preserve">   - §Ìn chiÕu s¸ng ®­êng phè Led 70W</t>
  </si>
  <si>
    <t>15</t>
  </si>
  <si>
    <t>BA.37201</t>
  </si>
  <si>
    <t>L¾p ®Æt tñ ®iÖn chiÕu s¸ng</t>
  </si>
  <si>
    <t>1 tñ</t>
  </si>
  <si>
    <t xml:space="preserve">   - Tñ ®iÖn chiÕu s¸ng PLC</t>
  </si>
  <si>
    <t xml:space="preserve">   - Xµ ®ë tñ ®iÖn chiÕu s¸ng</t>
  </si>
  <si>
    <t xml:space="preserve">   - G«ng gi÷ tñ ®iÖn chiÕu s¸ng</t>
  </si>
  <si>
    <t>16</t>
  </si>
  <si>
    <t>BA.25301</t>
  </si>
  <si>
    <t>L¾p ®Æt tiÕp ®Þa lÆp l¹i R2LL</t>
  </si>
  <si>
    <t xml:space="preserve">   - ThÐp tiÕp ®Þa m¹ kÏm</t>
  </si>
  <si>
    <t xml:space="preserve">   - §Çu cèt Ðp M10</t>
  </si>
  <si>
    <t xml:space="preserve">   - D©y ®ång trÇn M10</t>
  </si>
  <si>
    <t>m</t>
  </si>
  <si>
    <t xml:space="preserve">   - M¸y hµn 23KW</t>
  </si>
  <si>
    <t xml:space="preserve">   - Xe n©ng 9m</t>
  </si>
  <si>
    <t>17</t>
  </si>
  <si>
    <t>BA.31001</t>
  </si>
  <si>
    <t>KÐo d©y, c¸p chiÕu s¸ng</t>
  </si>
  <si>
    <t>1 m</t>
  </si>
  <si>
    <t>LV-ABC-XLPE-4x25-0,6/1kV</t>
  </si>
  <si>
    <t xml:space="preserve">   - D©y LV-ABC-XLPE-4x25-0,6/1kV</t>
  </si>
  <si>
    <t>18</t>
  </si>
  <si>
    <t>BA.36201</t>
  </si>
  <si>
    <t>Luån d©y c¸p lªn ®Ìn CVV2x1,5</t>
  </si>
  <si>
    <t xml:space="preserve">   - C¸p lªn ®Ìn CVV2x1,5</t>
  </si>
  <si>
    <t>19</t>
  </si>
  <si>
    <t>TT.MNT§</t>
  </si>
  <si>
    <t>Mèi nèi tiÕp ®Þa</t>
  </si>
  <si>
    <t>bé</t>
  </si>
  <si>
    <t xml:space="preserve">   - KÑp nèi xuyªn c¸ch ®iÖn 35-95mm2</t>
  </si>
  <si>
    <t>c¸i</t>
  </si>
  <si>
    <t xml:space="preserve">   - §Çu cèt Ðp M35</t>
  </si>
  <si>
    <t xml:space="preserve">   - D©y ®ång trÇn M35</t>
  </si>
  <si>
    <t xml:space="preserve">   - Bulon + londen M16x50</t>
  </si>
  <si>
    <t>20</t>
  </si>
  <si>
    <t>TT.TB§N</t>
  </si>
  <si>
    <t>ThiÕt bÞ ®Êu nèi</t>
  </si>
  <si>
    <t xml:space="preserve">   - èng nhùa xo¾n HDPE F65/50</t>
  </si>
  <si>
    <t xml:space="preserve">   - §Çu cèt Ðp M25</t>
  </si>
  <si>
    <t xml:space="preserve">   - C¸p CXV 4x25 - 0,6/1kV</t>
  </si>
  <si>
    <t>21</t>
  </si>
  <si>
    <t>TT.ABC§N</t>
  </si>
  <si>
    <t>ThiÕt bÞ treo c¸p chiÕu s¸ng ABC§N</t>
  </si>
  <si>
    <t xml:space="preserve">   - Chi tiÕt gi¸ mãc</t>
  </si>
  <si>
    <t xml:space="preserve">   - Khãa nÐo c¸p</t>
  </si>
  <si>
    <t xml:space="preserve">   - Khoa ®ai thÐp A20</t>
  </si>
  <si>
    <t xml:space="preserve">   - §ai thÐp kh«ng rØ 20x0,4</t>
  </si>
  <si>
    <t xml:space="preserve">   - D©y buéc rót</t>
  </si>
  <si>
    <t>sîi</t>
  </si>
  <si>
    <t xml:space="preserve">   - N¾p bÞt ®Çu c¸p 35mm2</t>
  </si>
  <si>
    <t>22</t>
  </si>
  <si>
    <t>TT.ABC1CS</t>
  </si>
  <si>
    <t>ThiÕt bÞ treo c¸p chiÕu s¸ng ABC1CS</t>
  </si>
  <si>
    <t xml:space="preserve">   - Bulon mãc</t>
  </si>
  <si>
    <t xml:space="preserve">   - KÑp treo c¸p</t>
  </si>
  <si>
    <t>23</t>
  </si>
  <si>
    <t>TT.ABC2CS</t>
  </si>
  <si>
    <t>ThiÕt bÞ treo c¸p chiÕu s¸ng ABC2CS</t>
  </si>
  <si>
    <t>24</t>
  </si>
  <si>
    <t>TT.ABC3CS</t>
  </si>
  <si>
    <t>ThiÕt bÞ treo c¸p chiÕu s¸ng ABC3CS</t>
  </si>
  <si>
    <t xml:space="preserve">   - N¾p bÞt ®Çu c¸p</t>
  </si>
  <si>
    <t>25</t>
  </si>
  <si>
    <t>TT.ABC1CS-KH</t>
  </si>
  <si>
    <t>ThiÕt bÞ treo c¸p chiÕu s¸ng ®i kÕt hîp ABC1CS-KH</t>
  </si>
  <si>
    <t>26</t>
  </si>
  <si>
    <t>TT.ABC2CS-KH</t>
  </si>
  <si>
    <t>ThiÕt bÞ treo c¸p chiÕu s¸ng ®i kÕt hîp ABC2CS-KH</t>
  </si>
  <si>
    <t>27</t>
  </si>
  <si>
    <t>TT.ABC3CS-KH</t>
  </si>
  <si>
    <t>ThiÕt bÞ treo c¸p chiÕu s¸ng ®i kÕt hîp ABC3CS-KH</t>
  </si>
  <si>
    <t>28</t>
  </si>
  <si>
    <t>TT.ABC2§CS-KH</t>
  </si>
  <si>
    <t>ThiÕt bÞ treo c¸p chiÕu s¸ng ®i kÕt hîp ABC2§CS-KH</t>
  </si>
  <si>
    <t>29</t>
  </si>
  <si>
    <t>TT.KNIPC25</t>
  </si>
  <si>
    <t>KÑp nèi xuyªn c¸ch ®iÖn IPC25</t>
  </si>
  <si>
    <t xml:space="preserve">   - KÑp nèi xuyªn c¸ch ®iÖn IPC25</t>
  </si>
  <si>
    <t>30</t>
  </si>
  <si>
    <t>TT.§SC</t>
  </si>
  <si>
    <t>§¸nh sè cét</t>
  </si>
  <si>
    <t xml:space="preserve">   - §¸nh sè cét</t>
  </si>
  <si>
    <t>*\2- C­íc vËn chuyÓn:</t>
  </si>
  <si>
    <t>31</t>
  </si>
  <si>
    <t>AM.23111</t>
  </si>
  <si>
    <t>VËn chuyÓn c¸t x©y dùng = « t« tù ®æ 7T</t>
  </si>
  <si>
    <t>10m3/km</t>
  </si>
  <si>
    <t>Trong ph¹m vi &lt;=1km</t>
  </si>
  <si>
    <t xml:space="preserve">   - ¤ t« tù ®æ 7T</t>
  </si>
  <si>
    <t>32</t>
  </si>
  <si>
    <t>AM.23112</t>
  </si>
  <si>
    <t>Trong ph¹m vi &lt;=10km</t>
  </si>
  <si>
    <t>33</t>
  </si>
  <si>
    <t>AM.23113</t>
  </si>
  <si>
    <t>Trong ph¹m vi &lt;=60km</t>
  </si>
  <si>
    <t>34</t>
  </si>
  <si>
    <t>AM.23411</t>
  </si>
  <si>
    <t>VËn chuyÓn ®¸ d¨m c¸c lo¹i = « t« tù ®æ 7T</t>
  </si>
  <si>
    <t>35</t>
  </si>
  <si>
    <t>AM.23412</t>
  </si>
  <si>
    <t>36</t>
  </si>
  <si>
    <t>AM.23413</t>
  </si>
  <si>
    <t>37</t>
  </si>
  <si>
    <t>AM.24511</t>
  </si>
  <si>
    <t>V/chuyÓn thÐp c¸c lo¹i= « t« vËn t¶i thïng 7T</t>
  </si>
  <si>
    <t>10tÊn/km</t>
  </si>
  <si>
    <t xml:space="preserve">   - ¤ t« vËn t¶i thïng 7T</t>
  </si>
  <si>
    <t>38</t>
  </si>
  <si>
    <t>AM.24512</t>
  </si>
  <si>
    <t>39</t>
  </si>
  <si>
    <t>AM.24513</t>
  </si>
  <si>
    <t>40</t>
  </si>
  <si>
    <t>AM.24711</t>
  </si>
  <si>
    <t>V/chuyÓn gç c¸c lo¹i= « t« vËn t¶i thïng 7T</t>
  </si>
  <si>
    <t>41</t>
  </si>
  <si>
    <t>AM.24712</t>
  </si>
  <si>
    <t>42</t>
  </si>
  <si>
    <t>AM.24713</t>
  </si>
  <si>
    <t>43</t>
  </si>
  <si>
    <t>AM.11242</t>
  </si>
  <si>
    <t>Bèc xÕp vËt liÖu kh¸c b»ng thñ c«ng</t>
  </si>
  <si>
    <t>TÊn</t>
  </si>
  <si>
    <t>Bèc xuèng - Xi m¨ng bao</t>
  </si>
  <si>
    <t>44</t>
  </si>
  <si>
    <t>AM.11252</t>
  </si>
  <si>
    <t>Bèc xuèng - Gç c¸c lo¹i</t>
  </si>
  <si>
    <t>45</t>
  </si>
  <si>
    <t>AM.11282</t>
  </si>
  <si>
    <t>Bèc xuèng - ThÐp c¸c lo¹i</t>
  </si>
  <si>
    <t>G</t>
  </si>
  <si>
    <t>6.</t>
  </si>
  <si>
    <t>DP1</t>
  </si>
  <si>
    <t xml:space="preserve">  - Do yÕu tè khèi l­îng ph¸t sinh</t>
  </si>
  <si>
    <t>G5</t>
  </si>
  <si>
    <t>Chi phÝ dù phßng:</t>
  </si>
  <si>
    <t>5.</t>
  </si>
  <si>
    <t>K4</t>
  </si>
  <si>
    <t xml:space="preserve">  - Chi phÝ thÈm ®Þnh gi¸</t>
  </si>
  <si>
    <t>K3</t>
  </si>
  <si>
    <t xml:space="preserve">  - Chi phÝ thÈm tra phª duyÖt quyÕt to¸n</t>
  </si>
  <si>
    <t>K2</t>
  </si>
  <si>
    <t xml:space="preserve">  - Chi phÝ b¶o hiÓm c«ng tr×nh</t>
  </si>
  <si>
    <t>K1</t>
  </si>
  <si>
    <t xml:space="preserve">  - PhÝ thÈm ®Þnh BCKT-KT</t>
  </si>
  <si>
    <t>G4</t>
  </si>
  <si>
    <t>Chi phÝ kh¸c:</t>
  </si>
  <si>
    <t>4.</t>
  </si>
  <si>
    <t xml:space="preserve"> G1*2.566%</t>
  </si>
  <si>
    <t>TV5</t>
  </si>
  <si>
    <t xml:space="preserve">  - Gi¸m s¸t thi c«ng x©y dùng</t>
  </si>
  <si>
    <t>TV4</t>
  </si>
  <si>
    <t xml:space="preserve">  - Chi phÝ ThÈm tra dù to¸n</t>
  </si>
  <si>
    <t>TV3</t>
  </si>
  <si>
    <t xml:space="preserve">  - Chi phÝ ThÈm tra thiÕt kÕ</t>
  </si>
  <si>
    <t>TV2</t>
  </si>
  <si>
    <t xml:space="preserve">  - LËp b¸o c¸o kinh tÕ kü thuËt</t>
  </si>
  <si>
    <t>TV1</t>
  </si>
  <si>
    <t xml:space="preserve">  - Kh¶o s¸t x©y dùng</t>
  </si>
  <si>
    <t>G3</t>
  </si>
  <si>
    <t>Chi phÝ t­ vÊn ®Çu t­ x©y dùng:</t>
  </si>
  <si>
    <t>3.</t>
  </si>
  <si>
    <t>G2</t>
  </si>
  <si>
    <t>Chi phÝ qu¶n lý dù ¸n:</t>
  </si>
  <si>
    <t>2.</t>
  </si>
  <si>
    <t xml:space="preserve">   A1</t>
  </si>
  <si>
    <t>A1</t>
  </si>
  <si>
    <t xml:space="preserve">  -1- §iÖn chiÕu s¸ng:</t>
  </si>
  <si>
    <t>G1</t>
  </si>
  <si>
    <t>Chi phÝ x©y dùng:</t>
  </si>
  <si>
    <t>1.</t>
  </si>
  <si>
    <t xml:space="preserve"> G+VAT</t>
  </si>
  <si>
    <t>Gxd</t>
  </si>
  <si>
    <t>+ Chi phÝ x©y dùng sau thuÕ</t>
  </si>
  <si>
    <t>.</t>
  </si>
  <si>
    <t xml:space="preserve"> G*8%</t>
  </si>
  <si>
    <t>VAT</t>
  </si>
  <si>
    <t>+ ThuÕ gi¸ trÞ gia t¨ng</t>
  </si>
  <si>
    <t xml:space="preserve"> T+GT+TL</t>
  </si>
  <si>
    <t xml:space="preserve"> - Chi phÝ x©y dùng tr­íc thuÕ</t>
  </si>
  <si>
    <t>*</t>
  </si>
  <si>
    <t xml:space="preserve"> (T+GT)*5.5%</t>
  </si>
  <si>
    <t>TL</t>
  </si>
  <si>
    <t>+ Thu nhËp chÞu thuÕ tÝnh tr­íc</t>
  </si>
  <si>
    <t xml:space="preserve"> T*2.00%</t>
  </si>
  <si>
    <t>TT</t>
  </si>
  <si>
    <t xml:space="preserve">   Chi phÝ c«ng viÖc kh«ng x¸c ®Þnh KLTK</t>
  </si>
  <si>
    <t xml:space="preserve"> T*2.2%</t>
  </si>
  <si>
    <t>LT</t>
  </si>
  <si>
    <t xml:space="preserve">   Chi phÝ nhµ t¹m, nhµ ®iÒu hµnh thi c«ng</t>
  </si>
  <si>
    <t xml:space="preserve"> T*5.5%</t>
  </si>
  <si>
    <t>C</t>
  </si>
  <si>
    <t xml:space="preserve">   Chi phÝ chung</t>
  </si>
  <si>
    <t xml:space="preserve"> C+LT+TT</t>
  </si>
  <si>
    <t>GT</t>
  </si>
  <si>
    <t>+ Chi phÝ gi¸n tiÕp</t>
  </si>
  <si>
    <t xml:space="preserve">   M</t>
  </si>
  <si>
    <t>M</t>
  </si>
  <si>
    <t xml:space="preserve">   Chi phÝ m¸y thi c«ng</t>
  </si>
  <si>
    <t xml:space="preserve">   NC</t>
  </si>
  <si>
    <t>NC</t>
  </si>
  <si>
    <t xml:space="preserve">   Chi phÝ nh©n c«ng</t>
  </si>
  <si>
    <t xml:space="preserve">   VL</t>
  </si>
  <si>
    <t>VL</t>
  </si>
  <si>
    <t xml:space="preserve">   Chi phÝ vËt liÖu</t>
  </si>
  <si>
    <t xml:space="preserve"> VL+NC+M</t>
  </si>
  <si>
    <t>T</t>
  </si>
  <si>
    <t>+ Chi phÝ trùc tiÕp</t>
  </si>
  <si>
    <t xml:space="preserve"> 2</t>
  </si>
  <si>
    <t xml:space="preserve"> 1</t>
  </si>
  <si>
    <t xml:space="preserve"> 45</t>
  </si>
  <si>
    <t xml:space="preserve"> 44</t>
  </si>
  <si>
    <t xml:space="preserve"> 43</t>
  </si>
  <si>
    <t xml:space="preserve"> 42</t>
  </si>
  <si>
    <t xml:space="preserve"> 41</t>
  </si>
  <si>
    <t xml:space="preserve"> 40</t>
  </si>
  <si>
    <t xml:space="preserve"> 39</t>
  </si>
  <si>
    <t xml:space="preserve"> 38</t>
  </si>
  <si>
    <t xml:space="preserve"> 37</t>
  </si>
  <si>
    <t xml:space="preserve"> 36</t>
  </si>
  <si>
    <t xml:space="preserve"> 35</t>
  </si>
  <si>
    <t xml:space="preserve"> 34</t>
  </si>
  <si>
    <t xml:space="preserve"> 33</t>
  </si>
  <si>
    <t xml:space="preserve"> 32</t>
  </si>
  <si>
    <t xml:space="preserve"> 31</t>
  </si>
  <si>
    <t>: 74=74.000</t>
  </si>
  <si>
    <t xml:space="preserve"> 30</t>
  </si>
  <si>
    <t>: 172=172.000</t>
  </si>
  <si>
    <t xml:space="preserve"> 29</t>
  </si>
  <si>
    <t>: 6=6.000</t>
  </si>
  <si>
    <t xml:space="preserve"> 28</t>
  </si>
  <si>
    <t>: 4=4.000</t>
  </si>
  <si>
    <t xml:space="preserve"> 27</t>
  </si>
  <si>
    <t xml:space="preserve"> 26</t>
  </si>
  <si>
    <t>: 14=14.000</t>
  </si>
  <si>
    <t xml:space="preserve"> 25</t>
  </si>
  <si>
    <t>: 2=2.000</t>
  </si>
  <si>
    <t xml:space="preserve"> 24</t>
  </si>
  <si>
    <t xml:space="preserve"> 23</t>
  </si>
  <si>
    <t>: 53=53.000</t>
  </si>
  <si>
    <t xml:space="preserve"> 22</t>
  </si>
  <si>
    <t xml:space="preserve"> 21</t>
  </si>
  <si>
    <t xml:space="preserve"> 20</t>
  </si>
  <si>
    <t>: 1=1.000</t>
  </si>
  <si>
    <t xml:space="preserve"> 19</t>
  </si>
  <si>
    <t>: 535=535.000</t>
  </si>
  <si>
    <t xml:space="preserve"> 18</t>
  </si>
  <si>
    <t>LV-ABC-XLPE-4x25-0,6/1kV: 3302=3302.000</t>
  </si>
  <si>
    <t xml:space="preserve"> 17</t>
  </si>
  <si>
    <t xml:space="preserve"> 16</t>
  </si>
  <si>
    <t xml:space="preserve"> 15</t>
  </si>
  <si>
    <t>: 86=86.000</t>
  </si>
  <si>
    <t xml:space="preserve"> 14</t>
  </si>
  <si>
    <t>: 7=7.000</t>
  </si>
  <si>
    <t xml:space="preserve"> 13</t>
  </si>
  <si>
    <t xml:space="preserve"> 12</t>
  </si>
  <si>
    <t>: 75=75.000</t>
  </si>
  <si>
    <t xml:space="preserve"> 11</t>
  </si>
  <si>
    <t>: 12=12.000</t>
  </si>
  <si>
    <t xml:space="preserve"> 10</t>
  </si>
  <si>
    <t xml:space="preserve">  9</t>
  </si>
  <si>
    <t>: 56=56.000</t>
  </si>
  <si>
    <t xml:space="preserve">  8</t>
  </si>
  <si>
    <t>§é chÆt yªu cÇu K=0.85: 367.4=367.400</t>
  </si>
  <si>
    <t xml:space="preserve">  7</t>
  </si>
  <si>
    <t>: 268.32=268.320</t>
  </si>
  <si>
    <t xml:space="preserve">  6</t>
  </si>
  <si>
    <t>V÷a bª t«ng ®¸ 1x2 M200: 5.92=5.920</t>
  </si>
  <si>
    <t xml:space="preserve">  5</t>
  </si>
  <si>
    <t>V÷a bª t«ng ®¸ 2x4M150: 52.54=52.540</t>
  </si>
  <si>
    <t xml:space="preserve">  4</t>
  </si>
  <si>
    <t>V÷a bª t«ng ®¸ 4x6 M100: 11.1=11.100</t>
  </si>
  <si>
    <t xml:space="preserve">  3</t>
  </si>
  <si>
    <t>§Êt cÊp III: 32.4=32.400</t>
  </si>
  <si>
    <t xml:space="preserve">  2</t>
  </si>
  <si>
    <t>§Êt cÊp III: 404.56=404.560</t>
  </si>
  <si>
    <t xml:space="preserve">  1</t>
  </si>
  <si>
    <t>B- Nh©n c«ng :</t>
  </si>
  <si>
    <t>C- M¸y thi c«ng :</t>
  </si>
  <si>
    <t xml:space="preserve"> A- VËt liÖu :</t>
  </si>
  <si>
    <t xml:space="preserve"> B- Nh©n c«ng :</t>
  </si>
  <si>
    <t xml:space="preserve"> C- M¸y thi c«ng :</t>
  </si>
  <si>
    <t>%</t>
  </si>
  <si>
    <t xml:space="preserve">   - VËt liÖu kh¸c</t>
  </si>
  <si>
    <t>A- VËt liÖu :</t>
  </si>
  <si>
    <t>madm</t>
  </si>
  <si>
    <t>1x2/4N4</t>
  </si>
  <si>
    <t>31*Diezel</t>
  </si>
  <si>
    <t>M106.0105</t>
  </si>
  <si>
    <t>46*Diezel</t>
  </si>
  <si>
    <t>M106.0203</t>
  </si>
  <si>
    <t>1x1/4N4+1x3/4N4</t>
  </si>
  <si>
    <t>25*Diezel</t>
  </si>
  <si>
    <t>M102.1801</t>
  </si>
  <si>
    <t>1x3/7N4</t>
  </si>
  <si>
    <t>4*Xang</t>
  </si>
  <si>
    <t>M101.0803</t>
  </si>
  <si>
    <t>7*KWh</t>
  </si>
  <si>
    <t>M112.1301</t>
  </si>
  <si>
    <t>5*KWh</t>
  </si>
  <si>
    <t>M112.1101</t>
  </si>
  <si>
    <t>1x4/7N4</t>
  </si>
  <si>
    <t>43*Diezel</t>
  </si>
  <si>
    <t>M101.0101</t>
  </si>
  <si>
    <t>11*KWh</t>
  </si>
  <si>
    <t>M104.0102</t>
  </si>
  <si>
    <t>48*KWh</t>
  </si>
  <si>
    <t>M112.4003</t>
  </si>
  <si>
    <t>M102.0101</t>
  </si>
  <si>
    <t>252200.0</t>
  </si>
  <si>
    <t>230630.3</t>
  </si>
  <si>
    <t>218559.2</t>
  </si>
  <si>
    <t xml:space="preserve">     0</t>
  </si>
  <si>
    <t>- èng nhùa xo¾n HDPE F65/50</t>
  </si>
  <si>
    <t>- §Ìn chiÕu s¸ng ®­êng phè Led 70W</t>
  </si>
  <si>
    <t>- §Çu cèt Ðp M35</t>
  </si>
  <si>
    <t>- §Çu cèt Ðp M25</t>
  </si>
  <si>
    <t>- §Çu cèt Ðp M10</t>
  </si>
  <si>
    <t>- §¸nh sè cét</t>
  </si>
  <si>
    <t>C«ng tr×nh</t>
  </si>
  <si>
    <t xml:space="preserve">  AM.23413: « t« tù ®æ 7T, cù ly &lt;60km</t>
  </si>
  <si>
    <t xml:space="preserve">  AM.23412: « t« tù ®æ 7T, cù ly &lt;10km</t>
  </si>
  <si>
    <t>H­¬ng Thä</t>
  </si>
  <si>
    <t xml:space="preserve">  AM.23411: « t« tù ®æ 7T, cù ly &lt;1km</t>
  </si>
  <si>
    <t xml:space="preserve">    20</t>
  </si>
  <si>
    <t>- §¸ d¨m 4x6</t>
  </si>
  <si>
    <t>- §¸ d¨m 2x4</t>
  </si>
  <si>
    <t>- §¸ d¨m 1x2</t>
  </si>
  <si>
    <t>- §inh</t>
  </si>
  <si>
    <t>- §ai thÐp kh«ng rØ 20x0,4</t>
  </si>
  <si>
    <t>- Xµ ®ë tñ ®iÖn chiÕu s¸ng</t>
  </si>
  <si>
    <t xml:space="preserve">  AM.11242: thñ c«ng - bèc xuèng xe</t>
  </si>
  <si>
    <t>- Xi m¨ng PCB40</t>
  </si>
  <si>
    <t>- Xi m¨ng PCB30</t>
  </si>
  <si>
    <t>- Tñ ®iÖn chiÕu s¸ng PLC</t>
  </si>
  <si>
    <t>- ThÐp tiÕp ®Þa m¹ kÏm</t>
  </si>
  <si>
    <t>- Tay b¾t cÇn</t>
  </si>
  <si>
    <t>- N¾p bÞt ®Çu c¸p 35mm2</t>
  </si>
  <si>
    <t>- N¾p bÞt ®Çu c¸p</t>
  </si>
  <si>
    <t>- N­íc</t>
  </si>
  <si>
    <t>- KÑp treo c¸p</t>
  </si>
  <si>
    <t>- KÑp nèi xuyªn c¸ch ®iÖn IPC25</t>
  </si>
  <si>
    <t>- KÑp nèi xuyªn c¸ch ®iÖn 35-95mm2</t>
  </si>
  <si>
    <t>- Khãa nÐo c¸p</t>
  </si>
  <si>
    <t>- Khoa ®ai thÐp A20</t>
  </si>
  <si>
    <t>- Gç ®µ nÑp</t>
  </si>
  <si>
    <t>- Gç v¸n</t>
  </si>
  <si>
    <t>- Gç chèng</t>
  </si>
  <si>
    <t>- G«ng gi÷ tñ ®iÖn chiÕu s¸ng</t>
  </si>
  <si>
    <t>- D©y ®ång trÇn M35</t>
  </si>
  <si>
    <t>- D©y ®ång trÇn M10</t>
  </si>
  <si>
    <t>- D©y LV-ABC-XLPE-4x25-0,6/1kV</t>
  </si>
  <si>
    <t>- D©y buéc rót</t>
  </si>
  <si>
    <t>- Cét BTLT NPC.I-8,5-160-4,3</t>
  </si>
  <si>
    <t>- Cét BTLT NPC.I-8,5-160-3</t>
  </si>
  <si>
    <t>- Cét BTLT NPC.I-10-190-4,3</t>
  </si>
  <si>
    <t>- CÇn ®Ìn ch÷ S - CÇn C§-4</t>
  </si>
  <si>
    <t>- CÇn ®Ìn ch÷ S - CÇn C§-3</t>
  </si>
  <si>
    <t>- CÇn ®Ìn ch÷ S - CÇn C§-2</t>
  </si>
  <si>
    <t xml:space="preserve">  AM.23113: « t« tù ®æ 7T, cù ly &lt;60km</t>
  </si>
  <si>
    <t xml:space="preserve">  AM.23112: « t« tù ®æ 7T, cù ly &lt;10km</t>
  </si>
  <si>
    <t xml:space="preserve">  AM.23111: « t« tù ®æ 7T, cù ly &lt;1km</t>
  </si>
  <si>
    <t xml:space="preserve">    14</t>
  </si>
  <si>
    <t>- C¸t ®óc</t>
  </si>
  <si>
    <t>- C¸p lªn ®Ìn CVV2x1,5</t>
  </si>
  <si>
    <t>- C¸p CXV 4x25 - 0,6/1kV</t>
  </si>
  <si>
    <t>- Chi tiÕt gi¸ mãc</t>
  </si>
  <si>
    <t>- Bulon mãc</t>
  </si>
  <si>
    <t>- Bulon + londen M16x50</t>
  </si>
  <si>
    <t>*C - XE MAY</t>
  </si>
  <si>
    <t>*B - NH¢N C¤NG</t>
  </si>
  <si>
    <t>*A - V¢T LI£U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</si>
  <si>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</si>
  <si>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</si>
  <si>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</si>
  <si>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</si>
  <si>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</si>
  <si>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</si>
  <si>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</si>
  <si>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</si>
  <si>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</si>
  <si>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</si>
  <si>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</si>
  <si>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</si>
  <si>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Céng hoµ x· héi chñ nghÜa ViÖt Nam</t>
  </si>
  <si>
    <t>§éc lËp - Tù do - H¹nh phóc</t>
  </si>
  <si>
    <t>=======@@@=======</t>
  </si>
  <si>
    <t>C«ng tr×nh: §IÖN CHIÕU S¸NG TRUNG T¢M X· H¦¥NG B×NH (GIAI §O¹N 3)</t>
  </si>
  <si>
    <t>§ÞA §IÓM: X· H¦¥NG B×NH, THÞ X· H¦¥NG TRµ, TØNH THõA THI£N HUÕ</t>
  </si>
  <si>
    <t>H¹ng môc chi phÝ</t>
  </si>
  <si>
    <t>Ký
hiÖu</t>
  </si>
  <si>
    <t>C¸ch tÝnh</t>
  </si>
  <si>
    <t>Thµnh tiÒn
tr­íc thuÕ</t>
  </si>
  <si>
    <t>ThuÕ
VAT</t>
  </si>
  <si>
    <t>Thµnh tiÒn
sau thuÕ</t>
  </si>
  <si>
    <t>B¶ng tæng hîp chi phÝ x©y l¾p</t>
  </si>
  <si>
    <t>Thµnh tiÒn</t>
  </si>
  <si>
    <t>B¶ng dù to¸n chi tiÕt</t>
  </si>
  <si>
    <t>§¬n gi¸</t>
  </si>
  <si>
    <t>Sè hiÖu
®Þnh møc</t>
  </si>
  <si>
    <t>H¹ng môc c«ng t¸c</t>
  </si>
  <si>
    <t>§¬n
vÞ</t>
  </si>
  <si>
    <t>Khèi
l­îng</t>
  </si>
  <si>
    <t>VËt liÖu</t>
  </si>
  <si>
    <t>Nh©n c«ng</t>
  </si>
  <si>
    <t>Ca m¸y</t>
  </si>
  <si>
    <t>M¸y thi c«ng</t>
  </si>
  <si>
    <t>B¶ng ph©n tÝch ®¬n gi¸</t>
  </si>
  <si>
    <t>Sè hiÖu
§Þnh møc</t>
  </si>
  <si>
    <t>§¬n 
vÞ</t>
  </si>
  <si>
    <t>§Þnh møc</t>
  </si>
  <si>
    <t>B¶ng gi¸ nh©n c«ng vµ ca m¸y</t>
  </si>
  <si>
    <t>TT
M· m¸y</t>
  </si>
  <si>
    <t>Lo¹i nh©n c«ng
&amp; M¸y thi c«ng</t>
  </si>
  <si>
    <t>§¬n 
VÞ</t>
  </si>
  <si>
    <t>Sè
Ca/
n¨m</t>
  </si>
  <si>
    <t>§m
KhÊu
hao</t>
  </si>
  <si>
    <t>§m
S÷a
ch÷a</t>
  </si>
  <si>
    <t>§m
C.phÝ
kh¸c</t>
  </si>
  <si>
    <t>§Þnh møc
nhiªn liÖu</t>
  </si>
  <si>
    <t>Thµnh phÇn
bËc thî</t>
  </si>
  <si>
    <t>Gi¸ tÝnh
khÊu hao
(1000 ®)</t>
  </si>
  <si>
    <t>Chi phÝ
khÊu hao
VN§</t>
  </si>
  <si>
    <t>Chi phÝ
s÷a ch÷a
VN§</t>
  </si>
  <si>
    <t>Chi phÝ
nh. liÖu
n.l­îng</t>
  </si>
  <si>
    <t>Chi phÝ
l­¬ng
thî m¸y</t>
  </si>
  <si>
    <t>Chi phÝ
kh¸c
VN§</t>
  </si>
  <si>
    <t>§¬n gi¸
1 c«ng vµ
1 ca m¸y</t>
  </si>
  <si>
    <t>B¶ng tÝnh gi¸ vËt liÖu ®Õn ch©n c«ng tr×nh</t>
  </si>
  <si>
    <t>Tªn vËt liÖu</t>
  </si>
  <si>
    <t>§iÓm ®Çu</t>
  </si>
  <si>
    <t>§iÓm cuèi</t>
  </si>
  <si>
    <t>BËc
hµng</t>
  </si>
  <si>
    <t>Lo¹i
®­êng</t>
  </si>
  <si>
    <t>Cù
ly
lÎ</t>
  </si>
  <si>
    <t>Tæng
cù ly</t>
  </si>
  <si>
    <t>C­íc
vËn chuyÓn</t>
  </si>
  <si>
    <t>HÖ sè
®c.bËc
hµng</t>
  </si>
  <si>
    <t>HÖ sè
träng 
l­îng</t>
  </si>
  <si>
    <t>HÖ sè
n©ng
h¹ben</t>
  </si>
  <si>
    <t>Gi¸ c­íc
vËn chuyÓn</t>
  </si>
  <si>
    <t>C­íc
bèc dì</t>
  </si>
  <si>
    <t>Gi¸ th¸ng</t>
  </si>
  <si>
    <t>Gi¸ thµnh</t>
  </si>
  <si>
    <t>B¶ng tÝnh khèi l­îng - tiªn l­îng</t>
  </si>
  <si>
    <t>Sè
l­îng</t>
  </si>
  <si>
    <t>Dµi</t>
  </si>
  <si>
    <t>Réng</t>
  </si>
  <si>
    <t>Cao</t>
  </si>
  <si>
    <t>Sè phô</t>
  </si>
  <si>
    <t>C«ng thøc</t>
  </si>
  <si>
    <t>Khèi l­îng
chi tiÕt</t>
  </si>
  <si>
    <t>B¶ng tæng hîp khèi l­îng vµ chi phÝ VL,NC,M</t>
  </si>
  <si>
    <t>Lo¹i vËt liÖu...</t>
  </si>
  <si>
    <t>Khèi l­îng</t>
  </si>
  <si>
    <t>B¶ng ph©n tÝch khèi l­îng</t>
  </si>
  <si>
    <t>EC.22010</t>
  </si>
  <si>
    <t>ThÝ nghiÖm ®iÖn trë tiÕp ®Êt cét ®iÖn (cét thÐp)</t>
  </si>
  <si>
    <t>VÞ trÝ</t>
  </si>
  <si>
    <t xml:space="preserve">   - D©y ®iÖn Cu/PVC 1x6 mm2</t>
  </si>
  <si>
    <t xml:space="preserve">   - Kü s­ bËc 3.0/8</t>
  </si>
  <si>
    <t xml:space="preserve">   - Hîp bé ®o ®iÖn trë tiÕp ®Þa</t>
  </si>
  <si>
    <t xml:space="preserve">   - M¸y ®o ®iÖn trë tiÕp xóc</t>
  </si>
  <si>
    <t>M112.0801</t>
  </si>
  <si>
    <t>262620.0</t>
  </si>
  <si>
    <t>- D©y ®iÖn Cu/PVC 1x6 mm2</t>
  </si>
  <si>
    <t xml:space="preserve">  - LËp HSMT vµ ®¸nh gi¸ HSDT x©y dùng</t>
  </si>
  <si>
    <t xml:space="preserve">  - ThÈm ®Þnh hå s¬ mêi thÇu gãi thÇu XD</t>
  </si>
  <si>
    <t xml:space="preserve">  - ThÈm ®Þnh kÕt qu¶ ®Êu thÇu gãi thÇu XD</t>
  </si>
  <si>
    <t xml:space="preserve">  - LÖ phÝ ®¨ng t¶i th«ng tin mêi thÇu</t>
  </si>
  <si>
    <t>K5</t>
  </si>
  <si>
    <t>TT 06/2021/TT-BKH§T</t>
  </si>
  <si>
    <t xml:space="preserve"> G1*0.25%</t>
  </si>
  <si>
    <t>Tæng céng(1+2+3+4+5)</t>
  </si>
  <si>
    <t xml:space="preserve"> G1*2.901%/1.08</t>
  </si>
  <si>
    <t xml:space="preserve"> (G-G5)*0.57%</t>
  </si>
  <si>
    <t>T¹m tÝnh</t>
  </si>
  <si>
    <t xml:space="preserve"> (G1+...+G5)</t>
  </si>
  <si>
    <t xml:space="preserve"> G1*5.357%</t>
  </si>
  <si>
    <t xml:space="preserve"> G1/1.08*0.388%</t>
  </si>
  <si>
    <t xml:space="preserve"> Tèi thiÓu</t>
  </si>
  <si>
    <t xml:space="preserve"> §· thÈm tra</t>
  </si>
  <si>
    <t xml:space="preserve"> G1*0.197%*1.2</t>
  </si>
  <si>
    <t xml:space="preserve"> G1*0.191%*1.2</t>
  </si>
  <si>
    <t xml:space="preserve">KẾ HOẠCH LỰA CHỌN NHÀ THẦU </t>
  </si>
  <si>
    <t>(Kèm theo Quyết định số          /QĐ-UBND ngày      /       /2023 của UBND thị xã Hương Trà)</t>
  </si>
  <si>
    <t>Stt</t>
  </si>
  <si>
    <t>Tên gói thầu</t>
  </si>
  <si>
    <t>Giá gói thầu
(1000 đồng)</t>
  </si>
  <si>
    <t>Nguồn vốn</t>
  </si>
  <si>
    <t>Hình thức lựa chọn nhà thầu</t>
  </si>
  <si>
    <t>Phương thức lựa chọn nhà thầu</t>
  </si>
  <si>
    <t>Thời gian bắt đầu tổ chức lựa chọn nhà thầu</t>
  </si>
  <si>
    <t>Loại hợp đồng</t>
  </si>
  <si>
    <t>Thời gian thực hiện hợp đồng</t>
  </si>
  <si>
    <t>Ghi chú</t>
  </si>
  <si>
    <t>I</t>
  </si>
  <si>
    <t>Phân công việc đã thực hiện</t>
  </si>
  <si>
    <t>Gói thầu số 01: Khảo sát, lập báo cáo kinh tế kỹ thuật</t>
  </si>
  <si>
    <t>Đã thực hiện</t>
  </si>
  <si>
    <t xml:space="preserve">Gói thầu số 02: Thẩm tra thiết kế BVTC và dự toán </t>
  </si>
  <si>
    <t>II</t>
  </si>
  <si>
    <t>Phần công việc thuộc kế hoạch lựa chọn nhà thầu</t>
  </si>
  <si>
    <t>Gói thầu số 03: Toàn bộ phần xây lắp</t>
  </si>
  <si>
    <t>Chào hàng cạnh tranh qua mạng</t>
  </si>
  <si>
    <t>Quý III/2023</t>
  </si>
  <si>
    <t>Trọn gói</t>
  </si>
  <si>
    <t>Gói thầu số 04: Giám sát thi công</t>
  </si>
  <si>
    <t>Chỉ định thầu</t>
  </si>
  <si>
    <t>III</t>
  </si>
  <si>
    <t>Phần công việc không áp dụng được một trong các hình thức lựa chọn nhà thầu</t>
  </si>
  <si>
    <t>IV</t>
  </si>
  <si>
    <t>Dự phòng:</t>
  </si>
  <si>
    <t>Tổng cộng:</t>
  </si>
  <si>
    <t>Gói thầu số 05: Bảo hiểm công trình</t>
  </si>
  <si>
    <t>Gói thầu số 07:  Thẩm định HSMT và kết quả LCNT</t>
  </si>
  <si>
    <t>Quản lý dự án; Thẩm định BCKTKT; Thẩm tra phê duyệt quyết toán; Đăng tải mời thầu; Thẩm định giá</t>
  </si>
  <si>
    <t>Bổ sung có mục tiêu của tỉnh 2.000 triệu đồng, phần còn lại ngân sách xã Hương Bình</t>
  </si>
  <si>
    <t>90 ngày</t>
  </si>
  <si>
    <t>BẢNG TỔNG MỨC ĐẦU TƯ</t>
  </si>
  <si>
    <t>ĐVT: đồng.</t>
  </si>
  <si>
    <t xml:space="preserve"> A1</t>
  </si>
  <si>
    <t xml:space="preserve"> Dù phßng phÝ</t>
  </si>
  <si>
    <t>K6</t>
  </si>
  <si>
    <t>K7</t>
  </si>
  <si>
    <t xml:space="preserve"> K1+...+K7</t>
  </si>
  <si>
    <t>TV6</t>
  </si>
  <si>
    <t xml:space="preserve"> TV1+...+TV6</t>
  </si>
  <si>
    <t xml:space="preserve"> DPP</t>
  </si>
  <si>
    <t>01 giai đoạn 01 túi hồ sơ</t>
  </si>
  <si>
    <t>Gói thầu số 06:  Lập HSMT, đánh giá HSDT</t>
  </si>
  <si>
    <t>Chủ đầu tư và các cơ quan liên quan thực hiện</t>
  </si>
  <si>
    <t>(Kèm theo Quyết định số 1176 /QĐ-UBND ngày 13 / 9/2023 của UBND thị xã Hương Trà)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</si>
</sst>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</numFmts>
  <fonts count="7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indexed="12"/>
      <name val=".VnTimeH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u val="single"/>
      <sz val="12"/>
      <color indexed="25"/>
      <name val=".VnTime"/>
      <family val="2"/>
    </font>
    <font>
      <sz val="12"/>
      <color indexed="17"/>
      <name val=".VnTime"/>
      <family val="2"/>
    </font>
    <font>
      <b/>
      <sz val="15"/>
      <color indexed="54"/>
      <name val=".VnTime"/>
      <family val="2"/>
    </font>
    <font>
      <b/>
      <sz val="13"/>
      <color indexed="54"/>
      <name val=".VnTime"/>
      <family val="2"/>
    </font>
    <font>
      <b/>
      <sz val="11"/>
      <color indexed="54"/>
      <name val=".VnTime"/>
      <family val="2"/>
    </font>
    <font>
      <u val="single"/>
      <sz val="12"/>
      <color indexed="30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sz val="18"/>
      <color indexed="54"/>
      <name val="Calibri Light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1"/>
      <color indexed="8"/>
      <name val=".VnTimeH"/>
      <family val="2"/>
    </font>
    <font>
      <sz val="11"/>
      <color indexed="8"/>
      <name val=".VnArial Narrow"/>
      <family val="2"/>
    </font>
    <font>
      <b/>
      <sz val="11"/>
      <color indexed="8"/>
      <name val=".VnArial Narrow"/>
      <family val="2"/>
    </font>
    <font>
      <sz val="10"/>
      <color indexed="8"/>
      <name val=".VnArial Narrow"/>
      <family val="2"/>
    </font>
    <font>
      <b/>
      <sz val="10"/>
      <color indexed="8"/>
      <name val=".VnArial Narrow"/>
      <family val="2"/>
    </font>
    <font>
      <u val="single"/>
      <sz val="11"/>
      <color indexed="8"/>
      <name val=".VnArial Narrow"/>
      <family val="2"/>
    </font>
    <font>
      <b/>
      <sz val="9"/>
      <color indexed="8"/>
      <name val=".VnArial Narrow"/>
      <family val="2"/>
    </font>
    <font>
      <sz val="11"/>
      <color indexed="10"/>
      <name val=".VnArial Narrow"/>
      <family val="2"/>
    </font>
    <font>
      <sz val="11"/>
      <color indexed="10"/>
      <name val=".VnTimeH"/>
      <family val="2"/>
    </font>
    <font>
      <b/>
      <sz val="11"/>
      <color indexed="8"/>
      <name val=".VnTimeH"/>
      <family val="2"/>
    </font>
    <font>
      <b/>
      <i/>
      <sz val="12"/>
      <color indexed="8"/>
      <name val=".VnTime"/>
      <family val="2"/>
    </font>
    <font>
      <b/>
      <sz val="13"/>
      <color indexed="8"/>
      <name val=".VnArialH"/>
      <family val="2"/>
    </font>
    <font>
      <i/>
      <sz val="14"/>
      <color indexed="30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u val="single"/>
      <sz val="12"/>
      <color theme="11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u val="single"/>
      <sz val="12"/>
      <color theme="10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sz val="18"/>
      <color theme="3"/>
      <name val="Calibri Light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1"/>
      <color theme="1"/>
      <name val=".VnTimeH"/>
      <family val="2"/>
    </font>
    <font>
      <sz val="11"/>
      <color theme="1"/>
      <name val=".VnArial Narrow"/>
      <family val="2"/>
    </font>
    <font>
      <b/>
      <sz val="11"/>
      <color theme="1"/>
      <name val=".VnArial Narrow"/>
      <family val="2"/>
    </font>
    <font>
      <sz val="10"/>
      <color theme="1"/>
      <name val=".VnArial Narrow"/>
      <family val="2"/>
    </font>
    <font>
      <b/>
      <sz val="10"/>
      <color theme="1"/>
      <name val=".VnArial Narrow"/>
      <family val="2"/>
    </font>
    <font>
      <u val="single"/>
      <sz val="11"/>
      <color theme="1"/>
      <name val=".VnArial Narrow"/>
      <family val="2"/>
    </font>
    <font>
      <b/>
      <sz val="9"/>
      <color theme="1"/>
      <name val=".VnArial Narrow"/>
      <family val="2"/>
    </font>
    <font>
      <sz val="11"/>
      <color rgb="FFFF0000"/>
      <name val=".VnArial Narrow"/>
      <family val="2"/>
    </font>
    <font>
      <sz val="11"/>
      <color rgb="FFFF0000"/>
      <name val=".VnTimeH"/>
      <family val="2"/>
    </font>
    <font>
      <sz val="14"/>
      <color theme="1"/>
      <name val="Times New Roman"/>
      <family val="1"/>
    </font>
    <font>
      <i/>
      <sz val="13"/>
      <color theme="1"/>
      <name val="Times New Roman"/>
      <family val="1"/>
    </font>
    <font>
      <i/>
      <sz val="14"/>
      <color rgb="FF0033CC"/>
      <name val="Times New Roman"/>
      <family val="1"/>
    </font>
    <font>
      <b/>
      <i/>
      <sz val="12"/>
      <color theme="1"/>
      <name val=".VnTime"/>
      <family val="2"/>
    </font>
    <font>
      <b/>
      <sz val="13"/>
      <color theme="1"/>
      <name val="Times New Roman"/>
      <family val="1"/>
    </font>
    <font>
      <b/>
      <sz val="11"/>
      <color theme="1"/>
      <name val=".VnTimeH"/>
      <family val="2"/>
    </font>
    <font>
      <b/>
      <sz val="13"/>
      <color theme="1"/>
      <name val=".VnArialH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165" fontId="57" fillId="0" borderId="0" xfId="0" applyNumberFormat="1" applyFont="1" applyAlignment="1">
      <alignment/>
    </xf>
    <xf numFmtId="0" fontId="57" fillId="0" borderId="0" xfId="0" applyFont="1" applyAlignment="1">
      <alignment/>
    </xf>
    <xf numFmtId="164" fontId="57" fillId="0" borderId="0" xfId="0" applyNumberFormat="1" applyFont="1" applyAlignment="1">
      <alignment/>
    </xf>
    <xf numFmtId="3" fontId="57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3" fontId="57" fillId="0" borderId="11" xfId="0" applyNumberFormat="1" applyFont="1" applyBorder="1" applyAlignment="1">
      <alignment/>
    </xf>
    <xf numFmtId="3" fontId="57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3" fontId="57" fillId="0" borderId="17" xfId="0" applyNumberFormat="1" applyFont="1" applyBorder="1" applyAlignment="1">
      <alignment/>
    </xf>
    <xf numFmtId="3" fontId="57" fillId="0" borderId="18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57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3" fontId="57" fillId="0" borderId="20" xfId="0" applyNumberFormat="1" applyFont="1" applyBorder="1" applyAlignment="1">
      <alignment horizontal="center" vertical="center" wrapText="1"/>
    </xf>
    <xf numFmtId="3" fontId="57" fillId="0" borderId="21" xfId="0" applyNumberFormat="1" applyFont="1" applyBorder="1" applyAlignment="1">
      <alignment horizontal="center" vertical="center" wrapText="1"/>
    </xf>
    <xf numFmtId="0" fontId="59" fillId="0" borderId="0" xfId="0" applyFont="1" applyAlignment="1">
      <alignment/>
    </xf>
    <xf numFmtId="3" fontId="57" fillId="0" borderId="21" xfId="0" applyNumberFormat="1" applyFont="1" applyBorder="1" applyAlignment="1">
      <alignment horizontal="center" vertical="center"/>
    </xf>
    <xf numFmtId="0" fontId="60" fillId="0" borderId="0" xfId="0" applyFont="1" applyAlignment="1">
      <alignment/>
    </xf>
    <xf numFmtId="165" fontId="60" fillId="0" borderId="0" xfId="0" applyNumberFormat="1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165" fontId="61" fillId="0" borderId="0" xfId="0" applyNumberFormat="1" applyFont="1" applyAlignment="1">
      <alignment/>
    </xf>
    <xf numFmtId="3" fontId="61" fillId="0" borderId="0" xfId="0" applyNumberFormat="1" applyFont="1" applyAlignment="1">
      <alignment/>
    </xf>
    <xf numFmtId="0" fontId="60" fillId="0" borderId="22" xfId="0" applyFont="1" applyBorder="1" applyAlignment="1">
      <alignment/>
    </xf>
    <xf numFmtId="0" fontId="60" fillId="0" borderId="23" xfId="0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11" xfId="0" applyFont="1" applyBorder="1" applyAlignment="1">
      <alignment/>
    </xf>
    <xf numFmtId="165" fontId="60" fillId="0" borderId="11" xfId="0" applyNumberFormat="1" applyFont="1" applyBorder="1" applyAlignment="1">
      <alignment/>
    </xf>
    <xf numFmtId="3" fontId="60" fillId="0" borderId="11" xfId="0" applyNumberFormat="1" applyFont="1" applyBorder="1" applyAlignment="1">
      <alignment/>
    </xf>
    <xf numFmtId="3" fontId="60" fillId="0" borderId="12" xfId="0" applyNumberFormat="1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4" xfId="0" applyFont="1" applyBorder="1" applyAlignment="1">
      <alignment/>
    </xf>
    <xf numFmtId="165" fontId="60" fillId="0" borderId="14" xfId="0" applyNumberFormat="1" applyFont="1" applyBorder="1" applyAlignment="1">
      <alignment/>
    </xf>
    <xf numFmtId="3" fontId="60" fillId="0" borderId="14" xfId="0" applyNumberFormat="1" applyFont="1" applyBorder="1" applyAlignment="1">
      <alignment/>
    </xf>
    <xf numFmtId="3" fontId="60" fillId="0" borderId="15" xfId="0" applyNumberFormat="1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17" xfId="0" applyFont="1" applyBorder="1" applyAlignment="1">
      <alignment/>
    </xf>
    <xf numFmtId="165" fontId="61" fillId="0" borderId="17" xfId="0" applyNumberFormat="1" applyFont="1" applyBorder="1" applyAlignment="1">
      <alignment/>
    </xf>
    <xf numFmtId="3" fontId="61" fillId="0" borderId="17" xfId="0" applyNumberFormat="1" applyFont="1" applyBorder="1" applyAlignment="1">
      <alignment/>
    </xf>
    <xf numFmtId="3" fontId="61" fillId="0" borderId="18" xfId="0" applyNumberFormat="1" applyFont="1" applyBorder="1" applyAlignment="1">
      <alignment/>
    </xf>
    <xf numFmtId="164" fontId="60" fillId="0" borderId="0" xfId="0" applyNumberFormat="1" applyFont="1" applyAlignment="1">
      <alignment horizontal="right"/>
    </xf>
    <xf numFmtId="164" fontId="61" fillId="0" borderId="17" xfId="0" applyNumberFormat="1" applyFont="1" applyBorder="1" applyAlignment="1">
      <alignment horizontal="right"/>
    </xf>
    <xf numFmtId="164" fontId="60" fillId="0" borderId="11" xfId="0" applyNumberFormat="1" applyFont="1" applyBorder="1" applyAlignment="1">
      <alignment horizontal="right"/>
    </xf>
    <xf numFmtId="164" fontId="60" fillId="0" borderId="14" xfId="0" applyNumberFormat="1" applyFont="1" applyBorder="1" applyAlignment="1">
      <alignment horizontal="right"/>
    </xf>
    <xf numFmtId="164" fontId="61" fillId="0" borderId="0" xfId="0" applyNumberFormat="1" applyFont="1" applyAlignment="1">
      <alignment horizontal="right"/>
    </xf>
    <xf numFmtId="165" fontId="61" fillId="0" borderId="24" xfId="0" applyNumberFormat="1" applyFont="1" applyBorder="1" applyAlignment="1">
      <alignment horizontal="center" vertical="center"/>
    </xf>
    <xf numFmtId="3" fontId="61" fillId="0" borderId="24" xfId="0" applyNumberFormat="1" applyFont="1" applyBorder="1" applyAlignment="1">
      <alignment horizontal="center" vertical="center"/>
    </xf>
    <xf numFmtId="3" fontId="61" fillId="0" borderId="25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57" fillId="0" borderId="12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6" fontId="0" fillId="0" borderId="17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6" fontId="57" fillId="0" borderId="0" xfId="0" applyNumberFormat="1" applyFont="1" applyAlignment="1">
      <alignment/>
    </xf>
    <xf numFmtId="166" fontId="57" fillId="0" borderId="20" xfId="0" applyNumberFormat="1" applyFont="1" applyBorder="1" applyAlignment="1">
      <alignment horizontal="center" vertical="center"/>
    </xf>
    <xf numFmtId="165" fontId="57" fillId="0" borderId="20" xfId="0" applyNumberFormat="1" applyFont="1" applyBorder="1" applyAlignment="1">
      <alignment horizontal="center" vertical="center"/>
    </xf>
    <xf numFmtId="165" fontId="57" fillId="0" borderId="21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3" fontId="62" fillId="0" borderId="0" xfId="0" applyNumberFormat="1" applyFont="1" applyAlignment="1">
      <alignment/>
    </xf>
    <xf numFmtId="4" fontId="62" fillId="0" borderId="0" xfId="0" applyNumberFormat="1" applyFont="1" applyAlignment="1">
      <alignment/>
    </xf>
    <xf numFmtId="165" fontId="62" fillId="0" borderId="0" xfId="0" applyNumberFormat="1" applyFont="1" applyAlignment="1">
      <alignment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3" fontId="62" fillId="0" borderId="11" xfId="0" applyNumberFormat="1" applyFont="1" applyBorder="1" applyAlignment="1">
      <alignment/>
    </xf>
    <xf numFmtId="4" fontId="62" fillId="0" borderId="11" xfId="0" applyNumberFormat="1" applyFont="1" applyBorder="1" applyAlignment="1">
      <alignment/>
    </xf>
    <xf numFmtId="165" fontId="62" fillId="0" borderId="11" xfId="0" applyNumberFormat="1" applyFont="1" applyBorder="1" applyAlignment="1">
      <alignment/>
    </xf>
    <xf numFmtId="165" fontId="62" fillId="0" borderId="12" xfId="0" applyNumberFormat="1" applyFont="1" applyBorder="1" applyAlignment="1">
      <alignment/>
    </xf>
    <xf numFmtId="0" fontId="62" fillId="0" borderId="16" xfId="0" applyFont="1" applyBorder="1" applyAlignment="1">
      <alignment/>
    </xf>
    <xf numFmtId="0" fontId="62" fillId="0" borderId="17" xfId="0" applyFont="1" applyBorder="1" applyAlignment="1">
      <alignment/>
    </xf>
    <xf numFmtId="3" fontId="62" fillId="0" borderId="17" xfId="0" applyNumberFormat="1" applyFont="1" applyBorder="1" applyAlignment="1">
      <alignment/>
    </xf>
    <xf numFmtId="4" fontId="62" fillId="0" borderId="17" xfId="0" applyNumberFormat="1" applyFont="1" applyBorder="1" applyAlignment="1">
      <alignment/>
    </xf>
    <xf numFmtId="165" fontId="62" fillId="0" borderId="17" xfId="0" applyNumberFormat="1" applyFont="1" applyBorder="1" applyAlignment="1">
      <alignment/>
    </xf>
    <xf numFmtId="165" fontId="62" fillId="0" borderId="18" xfId="0" applyNumberFormat="1" applyFont="1" applyBorder="1" applyAlignment="1">
      <alignment/>
    </xf>
    <xf numFmtId="0" fontId="63" fillId="0" borderId="0" xfId="0" applyFont="1" applyAlignment="1">
      <alignment/>
    </xf>
    <xf numFmtId="3" fontId="63" fillId="0" borderId="0" xfId="0" applyNumberFormat="1" applyFont="1" applyAlignment="1">
      <alignment/>
    </xf>
    <xf numFmtId="4" fontId="63" fillId="0" borderId="0" xfId="0" applyNumberFormat="1" applyFont="1" applyAlignment="1">
      <alignment/>
    </xf>
    <xf numFmtId="165" fontId="63" fillId="0" borderId="0" xfId="0" applyNumberFormat="1" applyFont="1" applyAlignment="1">
      <alignment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3" fontId="63" fillId="0" borderId="20" xfId="0" applyNumberFormat="1" applyFont="1" applyBorder="1" applyAlignment="1">
      <alignment horizontal="center" vertical="center" wrapText="1"/>
    </xf>
    <xf numFmtId="4" fontId="63" fillId="0" borderId="20" xfId="0" applyNumberFormat="1" applyFont="1" applyBorder="1" applyAlignment="1">
      <alignment horizontal="center" vertical="center" wrapText="1"/>
    </xf>
    <xf numFmtId="165" fontId="63" fillId="0" borderId="20" xfId="0" applyNumberFormat="1" applyFont="1" applyBorder="1" applyAlignment="1">
      <alignment horizontal="center" vertical="center" wrapText="1"/>
    </xf>
    <xf numFmtId="165" fontId="63" fillId="0" borderId="21" xfId="0" applyNumberFormat="1" applyFont="1" applyBorder="1" applyAlignment="1">
      <alignment horizontal="center" vertical="center" wrapText="1"/>
    </xf>
    <xf numFmtId="4" fontId="60" fillId="0" borderId="0" xfId="0" applyNumberFormat="1" applyFont="1" applyAlignment="1">
      <alignment/>
    </xf>
    <xf numFmtId="4" fontId="60" fillId="0" borderId="23" xfId="0" applyNumberFormat="1" applyFont="1" applyBorder="1" applyAlignment="1">
      <alignment/>
    </xf>
    <xf numFmtId="165" fontId="64" fillId="0" borderId="11" xfId="0" applyNumberFormat="1" applyFont="1" applyBorder="1" applyAlignment="1">
      <alignment/>
    </xf>
    <xf numFmtId="165" fontId="64" fillId="0" borderId="12" xfId="0" applyNumberFormat="1" applyFont="1" applyBorder="1" applyAlignment="1">
      <alignment/>
    </xf>
    <xf numFmtId="165" fontId="60" fillId="0" borderId="12" xfId="0" applyNumberFormat="1" applyFont="1" applyBorder="1" applyAlignment="1">
      <alignment/>
    </xf>
    <xf numFmtId="0" fontId="60" fillId="0" borderId="0" xfId="0" applyFont="1" applyAlignment="1">
      <alignment horizontal="right"/>
    </xf>
    <xf numFmtId="0" fontId="60" fillId="0" borderId="11" xfId="0" applyFont="1" applyBorder="1" applyAlignment="1">
      <alignment horizontal="right"/>
    </xf>
    <xf numFmtId="4" fontId="60" fillId="0" borderId="0" xfId="0" applyNumberFormat="1" applyFont="1" applyAlignment="1">
      <alignment horizontal="center"/>
    </xf>
    <xf numFmtId="4" fontId="60" fillId="0" borderId="11" xfId="0" applyNumberFormat="1" applyFont="1" applyBorder="1" applyAlignment="1">
      <alignment horizontal="center"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17" xfId="0" applyFont="1" applyBorder="1" applyAlignment="1">
      <alignment horizontal="right"/>
    </xf>
    <xf numFmtId="165" fontId="60" fillId="0" borderId="17" xfId="0" applyNumberFormat="1" applyFont="1" applyBorder="1" applyAlignment="1">
      <alignment/>
    </xf>
    <xf numFmtId="4" fontId="60" fillId="0" borderId="17" xfId="0" applyNumberFormat="1" applyFont="1" applyBorder="1" applyAlignment="1">
      <alignment horizontal="center"/>
    </xf>
    <xf numFmtId="165" fontId="64" fillId="0" borderId="17" xfId="0" applyNumberFormat="1" applyFont="1" applyBorder="1" applyAlignment="1">
      <alignment/>
    </xf>
    <xf numFmtId="165" fontId="64" fillId="0" borderId="18" xfId="0" applyNumberFormat="1" applyFont="1" applyBorder="1" applyAlignment="1">
      <alignment/>
    </xf>
    <xf numFmtId="0" fontId="61" fillId="0" borderId="0" xfId="0" applyFont="1" applyAlignment="1">
      <alignment horizontal="right"/>
    </xf>
    <xf numFmtId="4" fontId="61" fillId="0" borderId="0" xfId="0" applyNumberFormat="1" applyFont="1" applyAlignment="1">
      <alignment horizontal="center"/>
    </xf>
    <xf numFmtId="0" fontId="65" fillId="0" borderId="20" xfId="0" applyFont="1" applyBorder="1" applyAlignment="1">
      <alignment horizontal="center" vertical="center" wrapText="1"/>
    </xf>
    <xf numFmtId="165" fontId="65" fillId="0" borderId="20" xfId="0" applyNumberFormat="1" applyFont="1" applyBorder="1" applyAlignment="1">
      <alignment horizontal="center" vertical="center" wrapText="1"/>
    </xf>
    <xf numFmtId="4" fontId="65" fillId="0" borderId="20" xfId="0" applyNumberFormat="1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 wrapText="1"/>
    </xf>
    <xf numFmtId="165" fontId="61" fillId="0" borderId="20" xfId="0" applyNumberFormat="1" applyFont="1" applyBorder="1" applyAlignment="1">
      <alignment horizontal="center" vertical="center" wrapText="1"/>
    </xf>
    <xf numFmtId="165" fontId="61" fillId="0" borderId="20" xfId="0" applyNumberFormat="1" applyFont="1" applyBorder="1" applyAlignment="1">
      <alignment horizontal="center" vertical="center"/>
    </xf>
    <xf numFmtId="165" fontId="61" fillId="0" borderId="21" xfId="0" applyNumberFormat="1" applyFont="1" applyBorder="1" applyAlignment="1">
      <alignment horizontal="center" vertical="center"/>
    </xf>
    <xf numFmtId="4" fontId="60" fillId="0" borderId="0" xfId="0" applyNumberFormat="1" applyFont="1" applyAlignment="1">
      <alignment horizontal="right"/>
    </xf>
    <xf numFmtId="4" fontId="60" fillId="0" borderId="23" xfId="0" applyNumberFormat="1" applyFont="1" applyBorder="1" applyAlignment="1">
      <alignment horizontal="right"/>
    </xf>
    <xf numFmtId="164" fontId="60" fillId="0" borderId="26" xfId="0" applyNumberFormat="1" applyFont="1" applyBorder="1" applyAlignment="1">
      <alignment horizontal="right"/>
    </xf>
    <xf numFmtId="4" fontId="61" fillId="0" borderId="0" xfId="0" applyNumberFormat="1" applyFont="1" applyAlignment="1">
      <alignment horizontal="right"/>
    </xf>
    <xf numFmtId="4" fontId="61" fillId="0" borderId="0" xfId="0" applyNumberFormat="1" applyFont="1" applyAlignment="1">
      <alignment/>
    </xf>
    <xf numFmtId="4" fontId="61" fillId="0" borderId="20" xfId="0" applyNumberFormat="1" applyFont="1" applyBorder="1" applyAlignment="1">
      <alignment horizontal="center" vertical="center" wrapText="1"/>
    </xf>
    <xf numFmtId="4" fontId="61" fillId="0" borderId="20" xfId="0" applyNumberFormat="1" applyFont="1" applyBorder="1" applyAlignment="1">
      <alignment horizontal="center" vertical="center"/>
    </xf>
    <xf numFmtId="164" fontId="61" fillId="0" borderId="2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57" fillId="0" borderId="11" xfId="0" applyNumberFormat="1" applyFont="1" applyBorder="1" applyAlignment="1">
      <alignment/>
    </xf>
    <xf numFmtId="4" fontId="57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57" fillId="0" borderId="17" xfId="0" applyNumberFormat="1" applyFont="1" applyBorder="1" applyAlignment="1">
      <alignment/>
    </xf>
    <xf numFmtId="4" fontId="57" fillId="0" borderId="18" xfId="0" applyNumberFormat="1" applyFont="1" applyBorder="1" applyAlignment="1">
      <alignment/>
    </xf>
    <xf numFmtId="4" fontId="57" fillId="0" borderId="20" xfId="0" applyNumberFormat="1" applyFont="1" applyBorder="1" applyAlignment="1">
      <alignment horizontal="center" vertical="center"/>
    </xf>
    <xf numFmtId="4" fontId="57" fillId="0" borderId="2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164" fontId="57" fillId="0" borderId="11" xfId="0" applyNumberFormat="1" applyFont="1" applyBorder="1" applyAlignment="1">
      <alignment/>
    </xf>
    <xf numFmtId="164" fontId="57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57" fillId="0" borderId="17" xfId="0" applyNumberFormat="1" applyFont="1" applyBorder="1" applyAlignment="1">
      <alignment/>
    </xf>
    <xf numFmtId="164" fontId="57" fillId="0" borderId="18" xfId="0" applyNumberFormat="1" applyFont="1" applyBorder="1" applyAlignment="1">
      <alignment/>
    </xf>
    <xf numFmtId="164" fontId="57" fillId="0" borderId="20" xfId="0" applyNumberFormat="1" applyFont="1" applyBorder="1" applyAlignment="1">
      <alignment horizontal="center" vertical="center"/>
    </xf>
    <xf numFmtId="164" fontId="57" fillId="0" borderId="2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62" fillId="0" borderId="27" xfId="0" applyFont="1" applyBorder="1" applyAlignment="1">
      <alignment/>
    </xf>
    <xf numFmtId="0" fontId="62" fillId="0" borderId="28" xfId="0" applyFont="1" applyBorder="1" applyAlignment="1">
      <alignment/>
    </xf>
    <xf numFmtId="3" fontId="62" fillId="0" borderId="28" xfId="0" applyNumberFormat="1" applyFont="1" applyBorder="1" applyAlignment="1">
      <alignment/>
    </xf>
    <xf numFmtId="4" fontId="62" fillId="0" borderId="28" xfId="0" applyNumberFormat="1" applyFont="1" applyBorder="1" applyAlignment="1">
      <alignment/>
    </xf>
    <xf numFmtId="165" fontId="62" fillId="0" borderId="28" xfId="0" applyNumberFormat="1" applyFont="1" applyBorder="1" applyAlignment="1">
      <alignment/>
    </xf>
    <xf numFmtId="165" fontId="62" fillId="0" borderId="29" xfId="0" applyNumberFormat="1" applyFont="1" applyBorder="1" applyAlignment="1">
      <alignment/>
    </xf>
    <xf numFmtId="0" fontId="62" fillId="0" borderId="22" xfId="0" applyFont="1" applyBorder="1" applyAlignment="1">
      <alignment/>
    </xf>
    <xf numFmtId="0" fontId="62" fillId="0" borderId="23" xfId="0" applyFont="1" applyBorder="1" applyAlignment="1">
      <alignment/>
    </xf>
    <xf numFmtId="3" fontId="62" fillId="0" borderId="23" xfId="0" applyNumberFormat="1" applyFont="1" applyBorder="1" applyAlignment="1">
      <alignment/>
    </xf>
    <xf numFmtId="4" fontId="62" fillId="0" borderId="23" xfId="0" applyNumberFormat="1" applyFont="1" applyBorder="1" applyAlignment="1">
      <alignment/>
    </xf>
    <xf numFmtId="165" fontId="62" fillId="0" borderId="23" xfId="0" applyNumberFormat="1" applyFont="1" applyBorder="1" applyAlignment="1">
      <alignment/>
    </xf>
    <xf numFmtId="165" fontId="62" fillId="0" borderId="26" xfId="0" applyNumberFormat="1" applyFont="1" applyBorder="1" applyAlignment="1">
      <alignment/>
    </xf>
    <xf numFmtId="0" fontId="60" fillId="0" borderId="27" xfId="0" applyFont="1" applyBorder="1" applyAlignment="1">
      <alignment/>
    </xf>
    <xf numFmtId="0" fontId="60" fillId="0" borderId="28" xfId="0" applyFont="1" applyBorder="1" applyAlignment="1">
      <alignment/>
    </xf>
    <xf numFmtId="0" fontId="60" fillId="0" borderId="28" xfId="0" applyFont="1" applyBorder="1" applyAlignment="1">
      <alignment horizontal="right"/>
    </xf>
    <xf numFmtId="165" fontId="60" fillId="0" borderId="28" xfId="0" applyNumberFormat="1" applyFont="1" applyBorder="1" applyAlignment="1">
      <alignment/>
    </xf>
    <xf numFmtId="4" fontId="60" fillId="0" borderId="28" xfId="0" applyNumberFormat="1" applyFont="1" applyBorder="1" applyAlignment="1">
      <alignment horizontal="center"/>
    </xf>
    <xf numFmtId="165" fontId="64" fillId="0" borderId="28" xfId="0" applyNumberFormat="1" applyFont="1" applyBorder="1" applyAlignment="1">
      <alignment/>
    </xf>
    <xf numFmtId="165" fontId="64" fillId="0" borderId="29" xfId="0" applyNumberFormat="1" applyFont="1" applyBorder="1" applyAlignment="1">
      <alignment/>
    </xf>
    <xf numFmtId="0" fontId="60" fillId="0" borderId="22" xfId="0" applyFont="1" applyBorder="1" applyAlignment="1">
      <alignment horizontal="left" vertical="center"/>
    </xf>
    <xf numFmtId="0" fontId="60" fillId="0" borderId="23" xfId="0" applyFont="1" applyBorder="1" applyAlignment="1">
      <alignment horizontal="right"/>
    </xf>
    <xf numFmtId="165" fontId="60" fillId="0" borderId="23" xfId="0" applyNumberFormat="1" applyFont="1" applyBorder="1" applyAlignment="1">
      <alignment/>
    </xf>
    <xf numFmtId="4" fontId="60" fillId="0" borderId="23" xfId="0" applyNumberFormat="1" applyFont="1" applyBorder="1" applyAlignment="1">
      <alignment horizontal="center"/>
    </xf>
    <xf numFmtId="165" fontId="60" fillId="0" borderId="26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33" borderId="11" xfId="0" applyNumberFormat="1" applyFont="1" applyFill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165" fontId="2" fillId="0" borderId="30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3" fontId="3" fillId="0" borderId="30" xfId="0" applyNumberFormat="1" applyFont="1" applyBorder="1" applyAlignment="1">
      <alignment vertical="center"/>
    </xf>
    <xf numFmtId="165" fontId="3" fillId="0" borderId="30" xfId="0" applyNumberFormat="1" applyFont="1" applyBorder="1" applyAlignment="1">
      <alignment/>
    </xf>
    <xf numFmtId="165" fontId="3" fillId="0" borderId="30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/>
    </xf>
    <xf numFmtId="0" fontId="2" fillId="0" borderId="30" xfId="0" applyFont="1" applyBorder="1" applyAlignment="1">
      <alignment vertical="center" wrapText="1"/>
    </xf>
    <xf numFmtId="0" fontId="4" fillId="0" borderId="30" xfId="0" applyFont="1" applyBorder="1" applyAlignment="1">
      <alignment/>
    </xf>
    <xf numFmtId="0" fontId="68" fillId="0" borderId="0" xfId="0" applyFont="1" applyAlignment="1">
      <alignment horizontal="center" vertical="center" wrapText="1"/>
    </xf>
    <xf numFmtId="165" fontId="3" fillId="0" borderId="30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30" xfId="0" applyFont="1" applyBorder="1" applyAlignment="1">
      <alignment vertical="center"/>
    </xf>
    <xf numFmtId="165" fontId="2" fillId="0" borderId="30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164" fontId="3" fillId="0" borderId="30" xfId="0" applyNumberFormat="1" applyFont="1" applyBorder="1" applyAlignment="1">
      <alignment vertical="center" wrapText="1"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9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164" fontId="6" fillId="33" borderId="32" xfId="0" applyNumberFormat="1" applyFont="1" applyFill="1" applyBorder="1" applyAlignment="1">
      <alignment horizontal="center" vertical="center" wrapText="1"/>
    </xf>
    <xf numFmtId="164" fontId="6" fillId="33" borderId="31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 quotePrefix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1" fillId="0" borderId="3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164" fontId="61" fillId="0" borderId="33" xfId="0" applyNumberFormat="1" applyFont="1" applyBorder="1" applyAlignment="1">
      <alignment horizontal="center" vertical="center" wrapText="1"/>
    </xf>
    <xf numFmtId="165" fontId="61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61" fillId="0" borderId="34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3" fontId="57" fillId="0" borderId="0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4">
      <selection activeCell="E16" sqref="E16"/>
    </sheetView>
  </sheetViews>
  <sheetFormatPr defaultColWidth="8.796875" defaultRowHeight="15"/>
  <cols>
    <col min="1" max="1" width="5.09765625" style="207" customWidth="1"/>
    <col min="2" max="2" width="43.59765625" style="207" customWidth="1"/>
    <col min="3" max="3" width="14" style="207" customWidth="1"/>
    <col min="4" max="4" width="14.19921875" style="235" customWidth="1"/>
    <col min="5" max="5" width="16.19921875" style="236" customWidth="1"/>
    <col min="6" max="6" width="14.69921875" style="236" customWidth="1"/>
    <col min="7" max="7" width="15" style="236" customWidth="1"/>
    <col min="8" max="8" width="14" style="237" customWidth="1"/>
    <col min="9" max="9" width="13.09765625" style="237" customWidth="1"/>
    <col min="10" max="10" width="0.59375" style="207" hidden="1" customWidth="1"/>
    <col min="11" max="16384" width="9" style="207" customWidth="1"/>
  </cols>
  <sheetData>
    <row r="1" spans="1:9" s="202" customFormat="1" ht="18.75">
      <c r="A1" s="239" t="s">
        <v>574</v>
      </c>
      <c r="B1" s="239"/>
      <c r="C1" s="239"/>
      <c r="D1" s="239"/>
      <c r="E1" s="239"/>
      <c r="F1" s="239"/>
      <c r="G1" s="239"/>
      <c r="H1" s="239"/>
      <c r="I1" s="239"/>
    </row>
    <row r="2" spans="1:9" s="202" customFormat="1" ht="20.25">
      <c r="A2" s="240" t="str">
        <f>+'Tong du toan'!A7:G7</f>
        <v>C«ng tr×nh: §IÖN CHIÕU S¸NG TRUNG T¢M X· H¦¥NG B×NH (GIAI §O¹N 3)</v>
      </c>
      <c r="B2" s="241"/>
      <c r="C2" s="241"/>
      <c r="D2" s="241"/>
      <c r="E2" s="241"/>
      <c r="F2" s="241"/>
      <c r="G2" s="241"/>
      <c r="H2" s="241"/>
      <c r="I2" s="241"/>
    </row>
    <row r="3" spans="1:9" s="202" customFormat="1" ht="18.75">
      <c r="A3" s="242" t="s">
        <v>575</v>
      </c>
      <c r="B3" s="242"/>
      <c r="C3" s="242"/>
      <c r="D3" s="242"/>
      <c r="E3" s="242"/>
      <c r="F3" s="242"/>
      <c r="G3" s="242"/>
      <c r="H3" s="242"/>
      <c r="I3" s="242"/>
    </row>
    <row r="4" spans="1:9" ht="15">
      <c r="A4" s="203"/>
      <c r="B4" s="203"/>
      <c r="C4" s="203"/>
      <c r="D4" s="204"/>
      <c r="E4" s="205"/>
      <c r="F4" s="205"/>
      <c r="G4" s="205"/>
      <c r="H4" s="206"/>
      <c r="I4" s="206"/>
    </row>
    <row r="5" spans="1:10" s="202" customFormat="1" ht="92.25" customHeight="1">
      <c r="A5" s="208" t="s">
        <v>576</v>
      </c>
      <c r="B5" s="208" t="s">
        <v>577</v>
      </c>
      <c r="C5" s="208" t="s">
        <v>578</v>
      </c>
      <c r="D5" s="208" t="s">
        <v>579</v>
      </c>
      <c r="E5" s="208" t="s">
        <v>580</v>
      </c>
      <c r="F5" s="208" t="s">
        <v>581</v>
      </c>
      <c r="G5" s="208" t="s">
        <v>582</v>
      </c>
      <c r="H5" s="208" t="s">
        <v>583</v>
      </c>
      <c r="I5" s="208" t="s">
        <v>584</v>
      </c>
      <c r="J5" s="208" t="s">
        <v>585</v>
      </c>
    </row>
    <row r="6" spans="1:10" ht="18.75" customHeight="1">
      <c r="A6" s="209" t="s">
        <v>586</v>
      </c>
      <c r="B6" s="210" t="s">
        <v>587</v>
      </c>
      <c r="C6" s="211">
        <f>+SUM(C7:C8)</f>
        <v>0</v>
      </c>
      <c r="D6" s="243" t="s">
        <v>607</v>
      </c>
      <c r="E6" s="212"/>
      <c r="F6" s="212"/>
      <c r="G6" s="212"/>
      <c r="H6" s="213"/>
      <c r="I6" s="213"/>
      <c r="J6" s="214"/>
    </row>
    <row r="7" spans="1:10" ht="42" customHeight="1">
      <c r="A7" s="215" t="s">
        <v>2</v>
      </c>
      <c r="B7" s="216" t="s">
        <v>588</v>
      </c>
      <c r="C7" s="217">
        <f>+'Tong du toan'!M14/1000</f>
        <v>0</v>
      </c>
      <c r="D7" s="244"/>
      <c r="E7" s="218"/>
      <c r="F7" s="218"/>
      <c r="G7" s="219" t="s">
        <v>589</v>
      </c>
      <c r="H7" s="220"/>
      <c r="I7" s="220"/>
      <c r="J7" s="214"/>
    </row>
    <row r="8" spans="1:10" ht="40.5" customHeight="1">
      <c r="A8" s="215">
        <v>2</v>
      </c>
      <c r="B8" s="216" t="s">
        <v>590</v>
      </c>
      <c r="C8" s="217">
        <f>+'Tong du toan'!M15/1000</f>
        <v>0</v>
      </c>
      <c r="D8" s="244"/>
      <c r="E8" s="218"/>
      <c r="F8" s="218"/>
      <c r="G8" s="219" t="s">
        <v>589</v>
      </c>
      <c r="H8" s="220"/>
      <c r="I8" s="220"/>
      <c r="J8" s="214"/>
    </row>
    <row r="9" spans="1:10" s="203" customFormat="1" ht="37.5">
      <c r="A9" s="209" t="s">
        <v>591</v>
      </c>
      <c r="B9" s="221" t="s">
        <v>592</v>
      </c>
      <c r="C9" s="211">
        <f>+SUM(C10:C14)</f>
        <v>0</v>
      </c>
      <c r="D9" s="244"/>
      <c r="E9" s="212"/>
      <c r="F9" s="212"/>
      <c r="G9" s="212"/>
      <c r="H9" s="213"/>
      <c r="I9" s="213"/>
      <c r="J9" s="222"/>
    </row>
    <row r="10" spans="1:10" s="227" customFormat="1" ht="37.5">
      <c r="A10" s="215">
        <v>1</v>
      </c>
      <c r="B10" s="216" t="s">
        <v>593</v>
      </c>
      <c r="C10" s="217">
        <f>+'Tong du toan'!M16/1000</f>
        <v>0</v>
      </c>
      <c r="D10" s="244"/>
      <c r="E10" s="223" t="s">
        <v>594</v>
      </c>
      <c r="F10" s="224" t="s">
        <v>619</v>
      </c>
      <c r="G10" s="219" t="s">
        <v>595</v>
      </c>
      <c r="H10" s="225" t="s">
        <v>596</v>
      </c>
      <c r="I10" s="225" t="s">
        <v>608</v>
      </c>
      <c r="J10" s="226"/>
    </row>
    <row r="11" spans="1:10" s="227" customFormat="1" ht="23.25" customHeight="1">
      <c r="A11" s="215">
        <v>2</v>
      </c>
      <c r="B11" s="216" t="s">
        <v>597</v>
      </c>
      <c r="C11" s="217">
        <f>+'Tong du toan'!M17/1000</f>
        <v>0</v>
      </c>
      <c r="D11" s="244"/>
      <c r="E11" s="219" t="s">
        <v>598</v>
      </c>
      <c r="F11" s="219"/>
      <c r="G11" s="219" t="s">
        <v>595</v>
      </c>
      <c r="H11" s="225" t="s">
        <v>596</v>
      </c>
      <c r="I11" s="225" t="s">
        <v>608</v>
      </c>
      <c r="J11" s="228"/>
    </row>
    <row r="12" spans="1:10" s="227" customFormat="1" ht="23.25" customHeight="1">
      <c r="A12" s="215">
        <v>3</v>
      </c>
      <c r="B12" s="216" t="s">
        <v>604</v>
      </c>
      <c r="C12" s="217">
        <f>+'Tong du toan'!M18/1000</f>
        <v>0</v>
      </c>
      <c r="D12" s="244"/>
      <c r="E12" s="219" t="s">
        <v>598</v>
      </c>
      <c r="F12" s="219"/>
      <c r="G12" s="219" t="s">
        <v>595</v>
      </c>
      <c r="H12" s="225" t="s">
        <v>596</v>
      </c>
      <c r="I12" s="225" t="s">
        <v>608</v>
      </c>
      <c r="J12" s="228"/>
    </row>
    <row r="13" spans="1:10" s="227" customFormat="1" ht="23.25" customHeight="1">
      <c r="A13" s="215">
        <v>4</v>
      </c>
      <c r="B13" s="216" t="s">
        <v>620</v>
      </c>
      <c r="C13" s="217">
        <f>+'Tong du toan'!M19/1000</f>
        <v>0</v>
      </c>
      <c r="D13" s="244"/>
      <c r="E13" s="219" t="s">
        <v>598</v>
      </c>
      <c r="F13" s="219"/>
      <c r="G13" s="219" t="s">
        <v>595</v>
      </c>
      <c r="H13" s="225" t="s">
        <v>596</v>
      </c>
      <c r="I13" s="225" t="s">
        <v>608</v>
      </c>
      <c r="J13" s="228"/>
    </row>
    <row r="14" spans="1:10" s="227" customFormat="1" ht="36.75" customHeight="1">
      <c r="A14" s="215">
        <v>5</v>
      </c>
      <c r="B14" s="216" t="s">
        <v>605</v>
      </c>
      <c r="C14" s="217">
        <f>+'Tong du toan'!M20/1000</f>
        <v>0</v>
      </c>
      <c r="D14" s="244"/>
      <c r="E14" s="219" t="s">
        <v>598</v>
      </c>
      <c r="F14" s="219"/>
      <c r="G14" s="219" t="s">
        <v>595</v>
      </c>
      <c r="H14" s="225" t="s">
        <v>596</v>
      </c>
      <c r="I14" s="225" t="s">
        <v>608</v>
      </c>
      <c r="J14" s="228"/>
    </row>
    <row r="15" spans="1:10" ht="37.5">
      <c r="A15" s="209" t="s">
        <v>599</v>
      </c>
      <c r="B15" s="221" t="s">
        <v>600</v>
      </c>
      <c r="C15" s="211">
        <f>+SUM(C16:C16)</f>
        <v>0</v>
      </c>
      <c r="D15" s="244"/>
      <c r="E15" s="229"/>
      <c r="F15" s="229"/>
      <c r="G15" s="229"/>
      <c r="H15" s="230"/>
      <c r="I15" s="230"/>
      <c r="J15" s="214"/>
    </row>
    <row r="16" spans="1:10" ht="75">
      <c r="A16" s="215">
        <v>1</v>
      </c>
      <c r="B16" s="216" t="s">
        <v>606</v>
      </c>
      <c r="C16" s="217">
        <f>+'Tong du toan'!M21/1000</f>
        <v>0</v>
      </c>
      <c r="D16" s="244"/>
      <c r="E16" s="224" t="s">
        <v>621</v>
      </c>
      <c r="F16" s="218"/>
      <c r="G16" s="218"/>
      <c r="H16" s="220"/>
      <c r="I16" s="220"/>
      <c r="J16" s="214"/>
    </row>
    <row r="17" spans="1:10" ht="18.75">
      <c r="A17" s="209" t="s">
        <v>601</v>
      </c>
      <c r="B17" s="221" t="s">
        <v>602</v>
      </c>
      <c r="C17" s="211">
        <f>+'Tong du toan'!M22/1000</f>
        <v>0</v>
      </c>
      <c r="D17" s="231"/>
      <c r="E17" s="218"/>
      <c r="F17" s="218"/>
      <c r="G17" s="218"/>
      <c r="H17" s="220"/>
      <c r="I17" s="220"/>
      <c r="J17" s="214"/>
    </row>
    <row r="18" spans="1:10" ht="18.75">
      <c r="A18" s="232" t="s">
        <v>0</v>
      </c>
      <c r="B18" s="233" t="s">
        <v>603</v>
      </c>
      <c r="C18" s="213">
        <f>+C17+C15+C9+C6</f>
        <v>0</v>
      </c>
      <c r="D18" s="234"/>
      <c r="E18" s="218"/>
      <c r="F18" s="218"/>
      <c r="G18" s="218"/>
      <c r="H18" s="220"/>
      <c r="I18" s="220"/>
      <c r="J18" s="214"/>
    </row>
    <row r="21" ht="15">
      <c r="C21" s="237"/>
    </row>
  </sheetData>
  <sheetProtection/>
  <mergeCells count="4">
    <mergeCell ref="A1:I1"/>
    <mergeCell ref="A2:I2"/>
    <mergeCell ref="A3:I3"/>
    <mergeCell ref="D6:D16"/>
  </mergeCells>
  <printOptions/>
  <pageMargins left="0.2" right="0.2" top="0.5" bottom="0.2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4"/>
  <sheetViews>
    <sheetView showZeros="0" zoomScalePageLayoutView="0" workbookViewId="0" topLeftCell="A1">
      <selection activeCell="A1" sqref="A1:G1"/>
    </sheetView>
  </sheetViews>
  <sheetFormatPr defaultColWidth="8.796875" defaultRowHeight="15"/>
  <cols>
    <col min="1" max="1" width="3.69921875" style="6" customWidth="1"/>
    <col min="2" max="2" width="9.69921875" style="6" customWidth="1"/>
    <col min="3" max="3" width="29.69921875" style="6" customWidth="1"/>
    <col min="4" max="4" width="5.09765625" style="6" customWidth="1"/>
    <col min="5" max="6" width="10.69921875" style="162" customWidth="1"/>
    <col min="7" max="7" width="13.5" style="162" customWidth="1"/>
    <col min="8" max="16384" width="9" style="6" customWidth="1"/>
  </cols>
  <sheetData>
    <row r="1" spans="1:7" ht="21">
      <c r="A1" s="251" t="s">
        <v>545</v>
      </c>
      <c r="B1" s="251"/>
      <c r="C1" s="251"/>
      <c r="D1" s="251"/>
      <c r="E1" s="251"/>
      <c r="F1" s="251"/>
      <c r="G1" s="251"/>
    </row>
    <row r="2" spans="1:7" ht="15.75">
      <c r="A2" s="2"/>
      <c r="B2" s="2"/>
      <c r="C2" s="2"/>
      <c r="D2" s="2"/>
      <c r="E2" s="3"/>
      <c r="F2" s="3"/>
      <c r="G2" s="3"/>
    </row>
    <row r="3" spans="1:7" s="39" customFormat="1" ht="16.5">
      <c r="A3" s="250" t="s">
        <v>477</v>
      </c>
      <c r="B3" s="250"/>
      <c r="C3" s="250"/>
      <c r="D3" s="250"/>
      <c r="E3" s="250"/>
      <c r="F3" s="250"/>
      <c r="G3" s="250"/>
    </row>
    <row r="4" spans="1:7" s="39" customFormat="1" ht="16.5">
      <c r="A4" s="250" t="s">
        <v>478</v>
      </c>
      <c r="B4" s="250"/>
      <c r="C4" s="250"/>
      <c r="D4" s="250"/>
      <c r="E4" s="250"/>
      <c r="F4" s="250"/>
      <c r="G4" s="250"/>
    </row>
    <row r="5" spans="1:7" s="39" customFormat="1" ht="16.5">
      <c r="A5" s="250"/>
      <c r="B5" s="250"/>
      <c r="C5" s="250"/>
      <c r="D5" s="250"/>
      <c r="E5" s="250"/>
      <c r="F5" s="250"/>
      <c r="G5" s="250"/>
    </row>
    <row r="6" spans="1:7" ht="16.5" thickBot="1">
      <c r="A6" s="2"/>
      <c r="B6" s="2"/>
      <c r="C6" s="2"/>
      <c r="D6" s="2"/>
      <c r="E6" s="3"/>
      <c r="F6" s="3"/>
      <c r="G6" s="3"/>
    </row>
    <row r="7" spans="1:7" ht="45" customHeight="1">
      <c r="A7" s="34" t="s">
        <v>275</v>
      </c>
      <c r="B7" s="36" t="s">
        <v>489</v>
      </c>
      <c r="C7" s="35" t="s">
        <v>490</v>
      </c>
      <c r="D7" s="36" t="s">
        <v>499</v>
      </c>
      <c r="E7" s="171" t="s">
        <v>544</v>
      </c>
      <c r="F7" s="171" t="s">
        <v>500</v>
      </c>
      <c r="G7" s="172" t="s">
        <v>541</v>
      </c>
    </row>
    <row r="8" spans="1:7" ht="15.75">
      <c r="A8" s="20" t="s">
        <v>0</v>
      </c>
      <c r="B8" s="21" t="s">
        <v>0</v>
      </c>
      <c r="C8" s="21" t="s">
        <v>1</v>
      </c>
      <c r="D8" s="21" t="s">
        <v>0</v>
      </c>
      <c r="E8" s="169"/>
      <c r="F8" s="169"/>
      <c r="G8" s="170"/>
    </row>
    <row r="9" spans="1:7" ht="15">
      <c r="A9" s="12" t="s">
        <v>0</v>
      </c>
      <c r="B9" s="13" t="s">
        <v>0</v>
      </c>
      <c r="C9" s="13" t="s">
        <v>0</v>
      </c>
      <c r="D9" s="13" t="s">
        <v>0</v>
      </c>
      <c r="E9" s="165"/>
      <c r="F9" s="165"/>
      <c r="G9" s="166"/>
    </row>
    <row r="10" spans="1:7" ht="15">
      <c r="A10" s="12" t="s">
        <v>2</v>
      </c>
      <c r="B10" s="13" t="s">
        <v>3</v>
      </c>
      <c r="C10" s="13" t="s">
        <v>4</v>
      </c>
      <c r="D10" s="13" t="s">
        <v>5</v>
      </c>
      <c r="E10" s="165">
        <f>'Du toan chi tiet'!E10</f>
        <v>404.56</v>
      </c>
      <c r="F10" s="165"/>
      <c r="G10" s="166"/>
    </row>
    <row r="11" spans="1:7" ht="15">
      <c r="A11" s="12" t="s">
        <v>0</v>
      </c>
      <c r="B11" s="13" t="s">
        <v>0</v>
      </c>
      <c r="C11" s="13" t="s">
        <v>6</v>
      </c>
      <c r="D11" s="13" t="s">
        <v>0</v>
      </c>
      <c r="E11" s="165"/>
      <c r="F11" s="165"/>
      <c r="G11" s="166"/>
    </row>
    <row r="12" spans="1:7" ht="15">
      <c r="A12" s="12" t="s">
        <v>0</v>
      </c>
      <c r="B12" s="13" t="s">
        <v>0</v>
      </c>
      <c r="C12" s="13" t="s">
        <v>7</v>
      </c>
      <c r="D12" s="13" t="s">
        <v>8</v>
      </c>
      <c r="E12" s="165"/>
      <c r="F12" s="165">
        <f>0.0461</f>
        <v>0.0461</v>
      </c>
      <c r="G12" s="166">
        <f>E10*F12</f>
        <v>18.650216</v>
      </c>
    </row>
    <row r="13" spans="1:7" ht="15">
      <c r="A13" s="12" t="s">
        <v>0</v>
      </c>
      <c r="B13" s="13" t="s">
        <v>0</v>
      </c>
      <c r="C13" s="13" t="s">
        <v>9</v>
      </c>
      <c r="D13" s="13" t="s">
        <v>10</v>
      </c>
      <c r="E13" s="165"/>
      <c r="F13" s="165">
        <f>0.00897</f>
        <v>0.00897</v>
      </c>
      <c r="G13" s="166">
        <f>E10*F13</f>
        <v>3.6289032000000003</v>
      </c>
    </row>
    <row r="14" spans="1:7" ht="15">
      <c r="A14" s="12" t="s">
        <v>0</v>
      </c>
      <c r="B14" s="13" t="s">
        <v>0</v>
      </c>
      <c r="C14" s="13" t="s">
        <v>0</v>
      </c>
      <c r="D14" s="13" t="s">
        <v>0</v>
      </c>
      <c r="E14" s="165"/>
      <c r="F14" s="165"/>
      <c r="G14" s="166"/>
    </row>
    <row r="15" spans="1:7" ht="15">
      <c r="A15" s="12" t="s">
        <v>11</v>
      </c>
      <c r="B15" s="13" t="s">
        <v>12</v>
      </c>
      <c r="C15" s="13" t="s">
        <v>13</v>
      </c>
      <c r="D15" s="13" t="s">
        <v>5</v>
      </c>
      <c r="E15" s="165">
        <f>'Du toan chi tiet'!E12</f>
        <v>32.4</v>
      </c>
      <c r="F15" s="165"/>
      <c r="G15" s="166"/>
    </row>
    <row r="16" spans="1:7" ht="15">
      <c r="A16" s="12" t="s">
        <v>0</v>
      </c>
      <c r="B16" s="13" t="s">
        <v>0</v>
      </c>
      <c r="C16" s="13" t="s">
        <v>6</v>
      </c>
      <c r="D16" s="13" t="s">
        <v>0</v>
      </c>
      <c r="E16" s="165"/>
      <c r="F16" s="165"/>
      <c r="G16" s="166"/>
    </row>
    <row r="17" spans="1:7" ht="15">
      <c r="A17" s="12" t="s">
        <v>0</v>
      </c>
      <c r="B17" s="13" t="s">
        <v>0</v>
      </c>
      <c r="C17" s="13" t="s">
        <v>7</v>
      </c>
      <c r="D17" s="13" t="s">
        <v>8</v>
      </c>
      <c r="E17" s="165"/>
      <c r="F17" s="165">
        <f>1.62</f>
        <v>1.62</v>
      </c>
      <c r="G17" s="166">
        <f>E15*F17</f>
        <v>52.488</v>
      </c>
    </row>
    <row r="18" spans="1:7" ht="15">
      <c r="A18" s="12" t="s">
        <v>0</v>
      </c>
      <c r="B18" s="13" t="s">
        <v>0</v>
      </c>
      <c r="C18" s="13" t="s">
        <v>0</v>
      </c>
      <c r="D18" s="13" t="s">
        <v>0</v>
      </c>
      <c r="E18" s="165"/>
      <c r="F18" s="165"/>
      <c r="G18" s="166"/>
    </row>
    <row r="19" spans="1:7" ht="15">
      <c r="A19" s="12" t="s">
        <v>14</v>
      </c>
      <c r="B19" s="13" t="s">
        <v>15</v>
      </c>
      <c r="C19" s="13" t="s">
        <v>16</v>
      </c>
      <c r="D19" s="13" t="s">
        <v>5</v>
      </c>
      <c r="E19" s="165">
        <f>'Du toan chi tiet'!E14</f>
        <v>11.1</v>
      </c>
      <c r="F19" s="165"/>
      <c r="G19" s="166"/>
    </row>
    <row r="20" spans="1:7" ht="15">
      <c r="A20" s="12" t="s">
        <v>0</v>
      </c>
      <c r="B20" s="13" t="s">
        <v>0</v>
      </c>
      <c r="C20" s="13" t="s">
        <v>17</v>
      </c>
      <c r="D20" s="13" t="s">
        <v>0</v>
      </c>
      <c r="E20" s="165"/>
      <c r="F20" s="165"/>
      <c r="G20" s="166"/>
    </row>
    <row r="21" spans="1:7" ht="15">
      <c r="A21" s="12" t="s">
        <v>0</v>
      </c>
      <c r="B21" s="13" t="s">
        <v>0</v>
      </c>
      <c r="C21" s="13" t="s">
        <v>18</v>
      </c>
      <c r="D21" s="13" t="s">
        <v>19</v>
      </c>
      <c r="E21" s="165"/>
      <c r="F21" s="165">
        <f>1.025*193</f>
        <v>197.825</v>
      </c>
      <c r="G21" s="166">
        <f>E19*F21</f>
        <v>2195.8574999999996</v>
      </c>
    </row>
    <row r="22" spans="1:7" ht="15">
      <c r="A22" s="12" t="s">
        <v>0</v>
      </c>
      <c r="B22" s="13" t="s">
        <v>0</v>
      </c>
      <c r="C22" s="13" t="s">
        <v>20</v>
      </c>
      <c r="D22" s="13" t="s">
        <v>21</v>
      </c>
      <c r="E22" s="165"/>
      <c r="F22" s="165">
        <f>1.025*0.559</f>
        <v>0.572975</v>
      </c>
      <c r="G22" s="166">
        <f>E19*F22</f>
        <v>6.3600225</v>
      </c>
    </row>
    <row r="23" spans="1:7" ht="15">
      <c r="A23" s="12" t="s">
        <v>0</v>
      </c>
      <c r="B23" s="13" t="s">
        <v>0</v>
      </c>
      <c r="C23" s="13" t="s">
        <v>22</v>
      </c>
      <c r="D23" s="13" t="s">
        <v>21</v>
      </c>
      <c r="E23" s="165"/>
      <c r="F23" s="165">
        <f>1.025*0.906</f>
        <v>0.92865</v>
      </c>
      <c r="G23" s="166">
        <f>E19*F23</f>
        <v>10.308015</v>
      </c>
    </row>
    <row r="24" spans="1:7" ht="15">
      <c r="A24" s="12" t="s">
        <v>0</v>
      </c>
      <c r="B24" s="13" t="s">
        <v>0</v>
      </c>
      <c r="C24" s="13" t="s">
        <v>23</v>
      </c>
      <c r="D24" s="13" t="s">
        <v>21</v>
      </c>
      <c r="E24" s="165"/>
      <c r="F24" s="165">
        <f>1.025*0.162</f>
        <v>0.16605</v>
      </c>
      <c r="G24" s="166">
        <f>E19*F24</f>
        <v>1.8431549999999999</v>
      </c>
    </row>
    <row r="25" spans="1:7" ht="15">
      <c r="A25" s="12" t="s">
        <v>0</v>
      </c>
      <c r="B25" s="13" t="s">
        <v>0</v>
      </c>
      <c r="C25" s="13" t="s">
        <v>24</v>
      </c>
      <c r="D25" s="13" t="s">
        <v>8</v>
      </c>
      <c r="E25" s="165"/>
      <c r="F25" s="165">
        <f>1.07</f>
        <v>1.07</v>
      </c>
      <c r="G25" s="166">
        <f>E19*F25</f>
        <v>11.877</v>
      </c>
    </row>
    <row r="26" spans="1:7" ht="15">
      <c r="A26" s="12" t="s">
        <v>0</v>
      </c>
      <c r="B26" s="13" t="s">
        <v>0</v>
      </c>
      <c r="C26" s="13" t="s">
        <v>25</v>
      </c>
      <c r="D26" s="13" t="s">
        <v>10</v>
      </c>
      <c r="E26" s="165"/>
      <c r="F26" s="165">
        <f>0.095</f>
        <v>0.095</v>
      </c>
      <c r="G26" s="166">
        <f>E19*F26</f>
        <v>1.0545</v>
      </c>
    </row>
    <row r="27" spans="1:7" ht="15">
      <c r="A27" s="12" t="s">
        <v>0</v>
      </c>
      <c r="B27" s="13" t="s">
        <v>0</v>
      </c>
      <c r="C27" s="13" t="s">
        <v>26</v>
      </c>
      <c r="D27" s="13" t="s">
        <v>10</v>
      </c>
      <c r="E27" s="165"/>
      <c r="F27" s="165">
        <f>0.089</f>
        <v>0.089</v>
      </c>
      <c r="G27" s="166">
        <f>E19*F27</f>
        <v>0.9878999999999999</v>
      </c>
    </row>
    <row r="28" spans="1:7" ht="15">
      <c r="A28" s="12" t="s">
        <v>0</v>
      </c>
      <c r="B28" s="13" t="s">
        <v>0</v>
      </c>
      <c r="C28" s="13" t="s">
        <v>0</v>
      </c>
      <c r="D28" s="13" t="s">
        <v>0</v>
      </c>
      <c r="E28" s="165"/>
      <c r="F28" s="165"/>
      <c r="G28" s="166"/>
    </row>
    <row r="29" spans="1:7" ht="15">
      <c r="A29" s="12" t="s">
        <v>27</v>
      </c>
      <c r="B29" s="13" t="s">
        <v>28</v>
      </c>
      <c r="C29" s="13" t="s">
        <v>29</v>
      </c>
      <c r="D29" s="13" t="s">
        <v>5</v>
      </c>
      <c r="E29" s="165">
        <f>'Du toan chi tiet'!E16</f>
        <v>52.54</v>
      </c>
      <c r="F29" s="165"/>
      <c r="G29" s="166"/>
    </row>
    <row r="30" spans="1:7" ht="15">
      <c r="A30" s="12" t="s">
        <v>0</v>
      </c>
      <c r="B30" s="13" t="s">
        <v>0</v>
      </c>
      <c r="C30" s="13" t="s">
        <v>30</v>
      </c>
      <c r="D30" s="13" t="s">
        <v>0</v>
      </c>
      <c r="E30" s="165"/>
      <c r="F30" s="165"/>
      <c r="G30" s="166"/>
    </row>
    <row r="31" spans="1:7" ht="15">
      <c r="A31" s="12" t="s">
        <v>0</v>
      </c>
      <c r="B31" s="13" t="s">
        <v>0</v>
      </c>
      <c r="C31" s="13" t="s">
        <v>31</v>
      </c>
      <c r="D31" s="13" t="s">
        <v>19</v>
      </c>
      <c r="E31" s="165"/>
      <c r="F31" s="165">
        <f>1.025*205</f>
        <v>210.12499999999997</v>
      </c>
      <c r="G31" s="166">
        <f>E29*F31</f>
        <v>11039.967499999999</v>
      </c>
    </row>
    <row r="32" spans="1:7" ht="15">
      <c r="A32" s="12" t="s">
        <v>0</v>
      </c>
      <c r="B32" s="13" t="s">
        <v>0</v>
      </c>
      <c r="C32" s="13" t="s">
        <v>20</v>
      </c>
      <c r="D32" s="13" t="s">
        <v>21</v>
      </c>
      <c r="E32" s="165"/>
      <c r="F32" s="165">
        <f>1.025*0.549</f>
        <v>0.562725</v>
      </c>
      <c r="G32" s="166">
        <f>E29*F32</f>
        <v>29.5655715</v>
      </c>
    </row>
    <row r="33" spans="1:7" ht="15">
      <c r="A33" s="12" t="s">
        <v>0</v>
      </c>
      <c r="B33" s="13" t="s">
        <v>0</v>
      </c>
      <c r="C33" s="13" t="s">
        <v>32</v>
      </c>
      <c r="D33" s="13" t="s">
        <v>21</v>
      </c>
      <c r="E33" s="165"/>
      <c r="F33" s="165">
        <f>1.025*0.89</f>
        <v>0.9122499999999999</v>
      </c>
      <c r="G33" s="166">
        <f>E29*F33</f>
        <v>47.92961499999999</v>
      </c>
    </row>
    <row r="34" spans="1:7" ht="15">
      <c r="A34" s="12" t="s">
        <v>0</v>
      </c>
      <c r="B34" s="13" t="s">
        <v>0</v>
      </c>
      <c r="C34" s="13" t="s">
        <v>23</v>
      </c>
      <c r="D34" s="13" t="s">
        <v>21</v>
      </c>
      <c r="E34" s="165"/>
      <c r="F34" s="165">
        <f>1.025*0.172</f>
        <v>0.17629999999999996</v>
      </c>
      <c r="G34" s="166">
        <f>E29*F34</f>
        <v>9.262801999999997</v>
      </c>
    </row>
    <row r="35" spans="1:7" ht="15">
      <c r="A35" s="12" t="s">
        <v>0</v>
      </c>
      <c r="B35" s="13" t="s">
        <v>0</v>
      </c>
      <c r="C35" s="13" t="s">
        <v>24</v>
      </c>
      <c r="D35" s="13" t="s">
        <v>8</v>
      </c>
      <c r="E35" s="165"/>
      <c r="F35" s="165">
        <f>1.23</f>
        <v>1.23</v>
      </c>
      <c r="G35" s="166">
        <f>E29*F35</f>
        <v>64.6242</v>
      </c>
    </row>
    <row r="36" spans="1:7" ht="15">
      <c r="A36" s="12" t="s">
        <v>0</v>
      </c>
      <c r="B36" s="13" t="s">
        <v>0</v>
      </c>
      <c r="C36" s="13" t="s">
        <v>25</v>
      </c>
      <c r="D36" s="13" t="s">
        <v>10</v>
      </c>
      <c r="E36" s="165"/>
      <c r="F36" s="165">
        <f>0.095</f>
        <v>0.095</v>
      </c>
      <c r="G36" s="166">
        <f>E29*F36</f>
        <v>4.9913</v>
      </c>
    </row>
    <row r="37" spans="1:7" ht="15">
      <c r="A37" s="12" t="s">
        <v>0</v>
      </c>
      <c r="B37" s="13" t="s">
        <v>0</v>
      </c>
      <c r="C37" s="13" t="s">
        <v>33</v>
      </c>
      <c r="D37" s="13" t="s">
        <v>10</v>
      </c>
      <c r="E37" s="165"/>
      <c r="F37" s="165">
        <f>0.089</f>
        <v>0.089</v>
      </c>
      <c r="G37" s="166">
        <f>E29*F37</f>
        <v>4.67606</v>
      </c>
    </row>
    <row r="38" spans="1:7" ht="15">
      <c r="A38" s="12" t="s">
        <v>0</v>
      </c>
      <c r="B38" s="13" t="s">
        <v>0</v>
      </c>
      <c r="C38" s="13" t="s">
        <v>0</v>
      </c>
      <c r="D38" s="13" t="s">
        <v>0</v>
      </c>
      <c r="E38" s="165"/>
      <c r="F38" s="165"/>
      <c r="G38" s="166"/>
    </row>
    <row r="39" spans="1:7" ht="15">
      <c r="A39" s="12" t="s">
        <v>34</v>
      </c>
      <c r="B39" s="13" t="s">
        <v>35</v>
      </c>
      <c r="C39" s="13" t="s">
        <v>36</v>
      </c>
      <c r="D39" s="13" t="s">
        <v>5</v>
      </c>
      <c r="E39" s="165">
        <f>'Du toan chi tiet'!E18</f>
        <v>5.92</v>
      </c>
      <c r="F39" s="165"/>
      <c r="G39" s="166"/>
    </row>
    <row r="40" spans="1:7" ht="15">
      <c r="A40" s="12" t="s">
        <v>0</v>
      </c>
      <c r="B40" s="13" t="s">
        <v>0</v>
      </c>
      <c r="C40" s="13" t="s">
        <v>37</v>
      </c>
      <c r="D40" s="13" t="s">
        <v>0</v>
      </c>
      <c r="E40" s="165"/>
      <c r="F40" s="165"/>
      <c r="G40" s="166"/>
    </row>
    <row r="41" spans="1:7" ht="15">
      <c r="A41" s="12" t="s">
        <v>0</v>
      </c>
      <c r="B41" s="13" t="s">
        <v>0</v>
      </c>
      <c r="C41" s="13" t="s">
        <v>31</v>
      </c>
      <c r="D41" s="13" t="s">
        <v>19</v>
      </c>
      <c r="E41" s="165"/>
      <c r="F41" s="165">
        <f>1.025*259</f>
        <v>265.47499999999997</v>
      </c>
      <c r="G41" s="166">
        <f>E39*F41</f>
        <v>1571.6119999999999</v>
      </c>
    </row>
    <row r="42" spans="1:7" ht="15">
      <c r="A42" s="12" t="s">
        <v>0</v>
      </c>
      <c r="B42" s="13" t="s">
        <v>0</v>
      </c>
      <c r="C42" s="13" t="s">
        <v>20</v>
      </c>
      <c r="D42" s="13" t="s">
        <v>21</v>
      </c>
      <c r="E42" s="165"/>
      <c r="F42" s="165">
        <f>1.025*0.528</f>
        <v>0.5412</v>
      </c>
      <c r="G42" s="166">
        <f>E39*F42</f>
        <v>3.203904</v>
      </c>
    </row>
    <row r="43" spans="1:7" ht="15">
      <c r="A43" s="12" t="s">
        <v>0</v>
      </c>
      <c r="B43" s="13" t="s">
        <v>0</v>
      </c>
      <c r="C43" s="13" t="s">
        <v>38</v>
      </c>
      <c r="D43" s="13" t="s">
        <v>21</v>
      </c>
      <c r="E43" s="165"/>
      <c r="F43" s="165">
        <f>1.025*0.871</f>
        <v>0.8927749999999999</v>
      </c>
      <c r="G43" s="166">
        <f>E39*F43</f>
        <v>5.285227999999999</v>
      </c>
    </row>
    <row r="44" spans="1:7" ht="15">
      <c r="A44" s="12" t="s">
        <v>0</v>
      </c>
      <c r="B44" s="13" t="s">
        <v>0</v>
      </c>
      <c r="C44" s="13" t="s">
        <v>23</v>
      </c>
      <c r="D44" s="13" t="s">
        <v>21</v>
      </c>
      <c r="E44" s="165"/>
      <c r="F44" s="165">
        <f>1.025*0.183</f>
        <v>0.187575</v>
      </c>
      <c r="G44" s="166">
        <f>E39*F44</f>
        <v>1.110444</v>
      </c>
    </row>
    <row r="45" spans="1:7" ht="15">
      <c r="A45" s="12" t="s">
        <v>0</v>
      </c>
      <c r="B45" s="13" t="s">
        <v>0</v>
      </c>
      <c r="C45" s="13" t="s">
        <v>24</v>
      </c>
      <c r="D45" s="13" t="s">
        <v>8</v>
      </c>
      <c r="E45" s="165"/>
      <c r="F45" s="165">
        <f>1.23</f>
        <v>1.23</v>
      </c>
      <c r="G45" s="166">
        <f>E39*F45</f>
        <v>7.2816</v>
      </c>
    </row>
    <row r="46" spans="1:7" ht="15">
      <c r="A46" s="12" t="s">
        <v>0</v>
      </c>
      <c r="B46" s="13" t="s">
        <v>0</v>
      </c>
      <c r="C46" s="13" t="s">
        <v>25</v>
      </c>
      <c r="D46" s="13" t="s">
        <v>10</v>
      </c>
      <c r="E46" s="165"/>
      <c r="F46" s="165">
        <f>0.095</f>
        <v>0.095</v>
      </c>
      <c r="G46" s="166">
        <f>E39*F46</f>
        <v>0.5624</v>
      </c>
    </row>
    <row r="47" spans="1:7" ht="15">
      <c r="A47" s="12" t="s">
        <v>0</v>
      </c>
      <c r="B47" s="13" t="s">
        <v>0</v>
      </c>
      <c r="C47" s="13" t="s">
        <v>33</v>
      </c>
      <c r="D47" s="13" t="s">
        <v>10</v>
      </c>
      <c r="E47" s="165"/>
      <c r="F47" s="165">
        <f>0.089</f>
        <v>0.089</v>
      </c>
      <c r="G47" s="166">
        <f>E39*F47</f>
        <v>0.52688</v>
      </c>
    </row>
    <row r="48" spans="1:7" ht="15">
      <c r="A48" s="12" t="s">
        <v>0</v>
      </c>
      <c r="B48" s="13" t="s">
        <v>0</v>
      </c>
      <c r="C48" s="13" t="s">
        <v>0</v>
      </c>
      <c r="D48" s="13" t="s">
        <v>0</v>
      </c>
      <c r="E48" s="165"/>
      <c r="F48" s="165"/>
      <c r="G48" s="166"/>
    </row>
    <row r="49" spans="1:7" ht="15">
      <c r="A49" s="12" t="s">
        <v>39</v>
      </c>
      <c r="B49" s="13" t="s">
        <v>40</v>
      </c>
      <c r="C49" s="13" t="s">
        <v>41</v>
      </c>
      <c r="D49" s="13" t="s">
        <v>42</v>
      </c>
      <c r="E49" s="165">
        <f>'Du toan chi tiet'!E20</f>
        <v>268.32</v>
      </c>
      <c r="F49" s="165"/>
      <c r="G49" s="166"/>
    </row>
    <row r="50" spans="1:7" ht="15">
      <c r="A50" s="12" t="s">
        <v>0</v>
      </c>
      <c r="B50" s="13" t="s">
        <v>0</v>
      </c>
      <c r="C50" s="13" t="s">
        <v>43</v>
      </c>
      <c r="D50" s="13" t="s">
        <v>21</v>
      </c>
      <c r="E50" s="165"/>
      <c r="F50" s="165">
        <f>0.00794</f>
        <v>0.00794</v>
      </c>
      <c r="G50" s="166">
        <f>E49*F50</f>
        <v>2.1304608</v>
      </c>
    </row>
    <row r="51" spans="1:7" ht="15">
      <c r="A51" s="12" t="s">
        <v>0</v>
      </c>
      <c r="B51" s="13" t="s">
        <v>0</v>
      </c>
      <c r="C51" s="13" t="s">
        <v>44</v>
      </c>
      <c r="D51" s="13" t="s">
        <v>21</v>
      </c>
      <c r="E51" s="165"/>
      <c r="F51" s="165">
        <f>0.0021</f>
        <v>0.0021</v>
      </c>
      <c r="G51" s="166">
        <f>E49*F51</f>
        <v>0.563472</v>
      </c>
    </row>
    <row r="52" spans="1:7" ht="15">
      <c r="A52" s="12" t="s">
        <v>0</v>
      </c>
      <c r="B52" s="13" t="s">
        <v>0</v>
      </c>
      <c r="C52" s="13" t="s">
        <v>45</v>
      </c>
      <c r="D52" s="13" t="s">
        <v>21</v>
      </c>
      <c r="E52" s="165"/>
      <c r="F52" s="165">
        <f>0.00335</f>
        <v>0.00335</v>
      </c>
      <c r="G52" s="166">
        <f>E49*F52</f>
        <v>0.898872</v>
      </c>
    </row>
    <row r="53" spans="1:7" ht="15">
      <c r="A53" s="12" t="s">
        <v>0</v>
      </c>
      <c r="B53" s="13" t="s">
        <v>0</v>
      </c>
      <c r="C53" s="13" t="s">
        <v>46</v>
      </c>
      <c r="D53" s="13" t="s">
        <v>19</v>
      </c>
      <c r="E53" s="165"/>
      <c r="F53" s="165">
        <f>0.15</f>
        <v>0.15</v>
      </c>
      <c r="G53" s="166">
        <f>E49*F53</f>
        <v>40.248</v>
      </c>
    </row>
    <row r="54" spans="1:7" ht="15">
      <c r="A54" s="12" t="s">
        <v>0</v>
      </c>
      <c r="B54" s="13" t="s">
        <v>0</v>
      </c>
      <c r="C54" s="13" t="s">
        <v>47</v>
      </c>
      <c r="D54" s="13" t="s">
        <v>8</v>
      </c>
      <c r="E54" s="165"/>
      <c r="F54" s="165">
        <f>0.297</f>
        <v>0.297</v>
      </c>
      <c r="G54" s="166">
        <f>E49*F54</f>
        <v>79.69104</v>
      </c>
    </row>
    <row r="55" spans="1:7" ht="15">
      <c r="A55" s="12" t="s">
        <v>0</v>
      </c>
      <c r="B55" s="13" t="s">
        <v>0</v>
      </c>
      <c r="C55" s="13" t="s">
        <v>0</v>
      </c>
      <c r="D55" s="13" t="s">
        <v>0</v>
      </c>
      <c r="E55" s="165"/>
      <c r="F55" s="165"/>
      <c r="G55" s="166"/>
    </row>
    <row r="56" spans="1:7" ht="15">
      <c r="A56" s="12" t="s">
        <v>48</v>
      </c>
      <c r="B56" s="13" t="s">
        <v>49</v>
      </c>
      <c r="C56" s="13" t="s">
        <v>50</v>
      </c>
      <c r="D56" s="13" t="s">
        <v>5</v>
      </c>
      <c r="E56" s="165">
        <f>'Du toan chi tiet'!E22</f>
        <v>367.4</v>
      </c>
      <c r="F56" s="165"/>
      <c r="G56" s="166"/>
    </row>
    <row r="57" spans="1:7" ht="15">
      <c r="A57" s="12" t="s">
        <v>0</v>
      </c>
      <c r="B57" s="13" t="s">
        <v>0</v>
      </c>
      <c r="C57" s="13" t="s">
        <v>51</v>
      </c>
      <c r="D57" s="13" t="s">
        <v>0</v>
      </c>
      <c r="E57" s="165"/>
      <c r="F57" s="165"/>
      <c r="G57" s="166"/>
    </row>
    <row r="58" spans="1:7" ht="15">
      <c r="A58" s="12" t="s">
        <v>0</v>
      </c>
      <c r="B58" s="13" t="s">
        <v>0</v>
      </c>
      <c r="C58" s="13" t="s">
        <v>7</v>
      </c>
      <c r="D58" s="13" t="s">
        <v>8</v>
      </c>
      <c r="E58" s="165"/>
      <c r="F58" s="165">
        <f>0.0539</f>
        <v>0.0539</v>
      </c>
      <c r="G58" s="166">
        <f>E56*F58</f>
        <v>19.80286</v>
      </c>
    </row>
    <row r="59" spans="1:7" ht="15">
      <c r="A59" s="12" t="s">
        <v>0</v>
      </c>
      <c r="B59" s="13" t="s">
        <v>0</v>
      </c>
      <c r="C59" s="13" t="s">
        <v>52</v>
      </c>
      <c r="D59" s="13" t="s">
        <v>10</v>
      </c>
      <c r="E59" s="165"/>
      <c r="F59" s="165">
        <f>0.0335</f>
        <v>0.0335</v>
      </c>
      <c r="G59" s="166">
        <f>E56*F59</f>
        <v>12.3079</v>
      </c>
    </row>
    <row r="60" spans="1:7" ht="15">
      <c r="A60" s="12" t="s">
        <v>0</v>
      </c>
      <c r="B60" s="13" t="s">
        <v>0</v>
      </c>
      <c r="C60" s="13" t="s">
        <v>0</v>
      </c>
      <c r="D60" s="13" t="s">
        <v>0</v>
      </c>
      <c r="E60" s="165"/>
      <c r="F60" s="165"/>
      <c r="G60" s="166"/>
    </row>
    <row r="61" spans="1:7" ht="15">
      <c r="A61" s="12" t="s">
        <v>53</v>
      </c>
      <c r="B61" s="13" t="s">
        <v>54</v>
      </c>
      <c r="C61" s="13" t="s">
        <v>55</v>
      </c>
      <c r="D61" s="13" t="s">
        <v>56</v>
      </c>
      <c r="E61" s="165">
        <f>'Du toan chi tiet'!E24</f>
        <v>56</v>
      </c>
      <c r="F61" s="165"/>
      <c r="G61" s="166"/>
    </row>
    <row r="62" spans="1:7" ht="15">
      <c r="A62" s="12" t="s">
        <v>0</v>
      </c>
      <c r="B62" s="13" t="s">
        <v>0</v>
      </c>
      <c r="C62" s="13" t="s">
        <v>57</v>
      </c>
      <c r="D62" s="13" t="s">
        <v>58</v>
      </c>
      <c r="E62" s="165"/>
      <c r="F62" s="165">
        <f>1</f>
        <v>1</v>
      </c>
      <c r="G62" s="166">
        <f>E61*F62</f>
        <v>56</v>
      </c>
    </row>
    <row r="63" spans="1:7" ht="15">
      <c r="A63" s="12" t="s">
        <v>0</v>
      </c>
      <c r="B63" s="13" t="s">
        <v>0</v>
      </c>
      <c r="C63" s="13" t="s">
        <v>47</v>
      </c>
      <c r="D63" s="13" t="s">
        <v>8</v>
      </c>
      <c r="E63" s="165"/>
      <c r="F63" s="165">
        <f>1.63</f>
        <v>1.63</v>
      </c>
      <c r="G63" s="166">
        <f>E61*F63</f>
        <v>91.28</v>
      </c>
    </row>
    <row r="64" spans="1:7" ht="15">
      <c r="A64" s="12" t="s">
        <v>0</v>
      </c>
      <c r="B64" s="13" t="s">
        <v>0</v>
      </c>
      <c r="C64" s="13" t="s">
        <v>59</v>
      </c>
      <c r="D64" s="13" t="s">
        <v>10</v>
      </c>
      <c r="E64" s="165"/>
      <c r="F64" s="165">
        <f>0.15</f>
        <v>0.15</v>
      </c>
      <c r="G64" s="166">
        <f>E61*F64</f>
        <v>8.4</v>
      </c>
    </row>
    <row r="65" spans="1:7" ht="15">
      <c r="A65" s="12" t="s">
        <v>0</v>
      </c>
      <c r="B65" s="13" t="s">
        <v>0</v>
      </c>
      <c r="C65" s="13" t="s">
        <v>0</v>
      </c>
      <c r="D65" s="13" t="s">
        <v>0</v>
      </c>
      <c r="E65" s="165"/>
      <c r="F65" s="165"/>
      <c r="G65" s="166"/>
    </row>
    <row r="66" spans="1:7" ht="15">
      <c r="A66" s="12" t="s">
        <v>60</v>
      </c>
      <c r="B66" s="13" t="s">
        <v>61</v>
      </c>
      <c r="C66" s="13" t="s">
        <v>62</v>
      </c>
      <c r="D66" s="13" t="s">
        <v>56</v>
      </c>
      <c r="E66" s="165">
        <f>'Du toan chi tiet'!E26</f>
        <v>6</v>
      </c>
      <c r="F66" s="165"/>
      <c r="G66" s="166"/>
    </row>
    <row r="67" spans="1:7" ht="15">
      <c r="A67" s="12" t="s">
        <v>0</v>
      </c>
      <c r="B67" s="13" t="s">
        <v>0</v>
      </c>
      <c r="C67" s="13" t="s">
        <v>63</v>
      </c>
      <c r="D67" s="13" t="s">
        <v>58</v>
      </c>
      <c r="E67" s="165"/>
      <c r="F67" s="165">
        <f>1</f>
        <v>1</v>
      </c>
      <c r="G67" s="166">
        <f>E66*F67</f>
        <v>6</v>
      </c>
    </row>
    <row r="68" spans="1:7" ht="15">
      <c r="A68" s="12" t="s">
        <v>0</v>
      </c>
      <c r="B68" s="13" t="s">
        <v>0</v>
      </c>
      <c r="C68" s="13" t="s">
        <v>47</v>
      </c>
      <c r="D68" s="13" t="s">
        <v>8</v>
      </c>
      <c r="E68" s="165"/>
      <c r="F68" s="165">
        <f>1.63</f>
        <v>1.63</v>
      </c>
      <c r="G68" s="166">
        <f>E66*F68</f>
        <v>9.78</v>
      </c>
    </row>
    <row r="69" spans="1:7" ht="15">
      <c r="A69" s="12" t="s">
        <v>0</v>
      </c>
      <c r="B69" s="13" t="s">
        <v>0</v>
      </c>
      <c r="C69" s="13" t="s">
        <v>59</v>
      </c>
      <c r="D69" s="13" t="s">
        <v>10</v>
      </c>
      <c r="E69" s="165"/>
      <c r="F69" s="165">
        <f>0.15</f>
        <v>0.15</v>
      </c>
      <c r="G69" s="166">
        <f>E66*F69</f>
        <v>0.8999999999999999</v>
      </c>
    </row>
    <row r="70" spans="1:7" ht="15">
      <c r="A70" s="12" t="s">
        <v>0</v>
      </c>
      <c r="B70" s="13" t="s">
        <v>0</v>
      </c>
      <c r="C70" s="13" t="s">
        <v>0</v>
      </c>
      <c r="D70" s="13" t="s">
        <v>0</v>
      </c>
      <c r="E70" s="165"/>
      <c r="F70" s="165"/>
      <c r="G70" s="166"/>
    </row>
    <row r="71" spans="1:7" ht="15">
      <c r="A71" s="12" t="s">
        <v>64</v>
      </c>
      <c r="B71" s="13" t="s">
        <v>65</v>
      </c>
      <c r="C71" s="13" t="s">
        <v>66</v>
      </c>
      <c r="D71" s="13" t="s">
        <v>56</v>
      </c>
      <c r="E71" s="165">
        <f>'Du toan chi tiet'!E28</f>
        <v>12</v>
      </c>
      <c r="F71" s="165"/>
      <c r="G71" s="166"/>
    </row>
    <row r="72" spans="1:7" ht="15">
      <c r="A72" s="12" t="s">
        <v>0</v>
      </c>
      <c r="B72" s="13" t="s">
        <v>0</v>
      </c>
      <c r="C72" s="13" t="s">
        <v>67</v>
      </c>
      <c r="D72" s="13" t="s">
        <v>58</v>
      </c>
      <c r="E72" s="165"/>
      <c r="F72" s="165">
        <f>1</f>
        <v>1</v>
      </c>
      <c r="G72" s="166">
        <f>E71*F72</f>
        <v>12</v>
      </c>
    </row>
    <row r="73" spans="1:7" ht="15">
      <c r="A73" s="12" t="s">
        <v>0</v>
      </c>
      <c r="B73" s="13" t="s">
        <v>0</v>
      </c>
      <c r="C73" s="13" t="s">
        <v>47</v>
      </c>
      <c r="D73" s="13" t="s">
        <v>8</v>
      </c>
      <c r="E73" s="165"/>
      <c r="F73" s="165">
        <f>1.63</f>
        <v>1.63</v>
      </c>
      <c r="G73" s="166">
        <f>E71*F73</f>
        <v>19.56</v>
      </c>
    </row>
    <row r="74" spans="1:7" ht="15">
      <c r="A74" s="12" t="s">
        <v>0</v>
      </c>
      <c r="B74" s="13" t="s">
        <v>0</v>
      </c>
      <c r="C74" s="13" t="s">
        <v>59</v>
      </c>
      <c r="D74" s="13" t="s">
        <v>10</v>
      </c>
      <c r="E74" s="165"/>
      <c r="F74" s="165">
        <f>0.15</f>
        <v>0.15</v>
      </c>
      <c r="G74" s="166">
        <f>E71*F74</f>
        <v>1.7999999999999998</v>
      </c>
    </row>
    <row r="75" spans="1:7" ht="15">
      <c r="A75" s="12" t="s">
        <v>0</v>
      </c>
      <c r="B75" s="13" t="s">
        <v>0</v>
      </c>
      <c r="C75" s="13" t="s">
        <v>0</v>
      </c>
      <c r="D75" s="13" t="s">
        <v>0</v>
      </c>
      <c r="E75" s="165"/>
      <c r="F75" s="165"/>
      <c r="G75" s="166"/>
    </row>
    <row r="76" spans="1:7" ht="15">
      <c r="A76" s="12" t="s">
        <v>68</v>
      </c>
      <c r="B76" s="13" t="s">
        <v>69</v>
      </c>
      <c r="C76" s="13" t="s">
        <v>70</v>
      </c>
      <c r="D76" s="13" t="s">
        <v>71</v>
      </c>
      <c r="E76" s="165">
        <f>'Du toan chi tiet'!E30</f>
        <v>75</v>
      </c>
      <c r="F76" s="165"/>
      <c r="G76" s="166"/>
    </row>
    <row r="77" spans="1:7" ht="15">
      <c r="A77" s="12" t="s">
        <v>0</v>
      </c>
      <c r="B77" s="13" t="s">
        <v>0</v>
      </c>
      <c r="C77" s="13" t="s">
        <v>72</v>
      </c>
      <c r="D77" s="13" t="s">
        <v>73</v>
      </c>
      <c r="E77" s="165"/>
      <c r="F77" s="165">
        <f>1</f>
        <v>1</v>
      </c>
      <c r="G77" s="166">
        <f>E76*F77</f>
        <v>75</v>
      </c>
    </row>
    <row r="78" spans="1:7" ht="15">
      <c r="A78" s="12" t="s">
        <v>0</v>
      </c>
      <c r="B78" s="13" t="s">
        <v>0</v>
      </c>
      <c r="C78" s="13" t="s">
        <v>74</v>
      </c>
      <c r="D78" s="13" t="s">
        <v>75</v>
      </c>
      <c r="E78" s="165"/>
      <c r="F78" s="165">
        <f>1</f>
        <v>1</v>
      </c>
      <c r="G78" s="166">
        <f>E76*F78</f>
        <v>75</v>
      </c>
    </row>
    <row r="79" spans="1:7" ht="15">
      <c r="A79" s="12" t="s">
        <v>0</v>
      </c>
      <c r="B79" s="13" t="s">
        <v>0</v>
      </c>
      <c r="C79" s="13" t="s">
        <v>47</v>
      </c>
      <c r="D79" s="13" t="s">
        <v>8</v>
      </c>
      <c r="E79" s="165"/>
      <c r="F79" s="165">
        <f>0.75</f>
        <v>0.75</v>
      </c>
      <c r="G79" s="166">
        <f>E76*F79</f>
        <v>56.25</v>
      </c>
    </row>
    <row r="80" spans="1:7" ht="15">
      <c r="A80" s="12" t="s">
        <v>0</v>
      </c>
      <c r="B80" s="13" t="s">
        <v>0</v>
      </c>
      <c r="C80" s="13" t="s">
        <v>76</v>
      </c>
      <c r="D80" s="13" t="s">
        <v>10</v>
      </c>
      <c r="E80" s="165"/>
      <c r="F80" s="165">
        <f>0.17</f>
        <v>0.17</v>
      </c>
      <c r="G80" s="166">
        <f>E76*F80</f>
        <v>12.750000000000002</v>
      </c>
    </row>
    <row r="81" spans="1:7" ht="15">
      <c r="A81" s="12" t="s">
        <v>0</v>
      </c>
      <c r="B81" s="13" t="s">
        <v>0</v>
      </c>
      <c r="C81" s="13" t="s">
        <v>0</v>
      </c>
      <c r="D81" s="13" t="s">
        <v>0</v>
      </c>
      <c r="E81" s="165"/>
      <c r="F81" s="165"/>
      <c r="G81" s="166"/>
    </row>
    <row r="82" spans="1:7" ht="15">
      <c r="A82" s="12" t="s">
        <v>77</v>
      </c>
      <c r="B82" s="13" t="s">
        <v>78</v>
      </c>
      <c r="C82" s="13" t="s">
        <v>79</v>
      </c>
      <c r="D82" s="13" t="s">
        <v>71</v>
      </c>
      <c r="E82" s="165">
        <f>'Du toan chi tiet'!E32</f>
        <v>4</v>
      </c>
      <c r="F82" s="165"/>
      <c r="G82" s="166"/>
    </row>
    <row r="83" spans="1:7" ht="15">
      <c r="A83" s="12" t="s">
        <v>0</v>
      </c>
      <c r="B83" s="13" t="s">
        <v>0</v>
      </c>
      <c r="C83" s="13" t="s">
        <v>80</v>
      </c>
      <c r="D83" s="13" t="s">
        <v>73</v>
      </c>
      <c r="E83" s="165"/>
      <c r="F83" s="165">
        <f>1</f>
        <v>1</v>
      </c>
      <c r="G83" s="166">
        <f>E82*F83</f>
        <v>4</v>
      </c>
    </row>
    <row r="84" spans="1:7" ht="15">
      <c r="A84" s="12" t="s">
        <v>0</v>
      </c>
      <c r="B84" s="13" t="s">
        <v>0</v>
      </c>
      <c r="C84" s="13" t="s">
        <v>74</v>
      </c>
      <c r="D84" s="13" t="s">
        <v>75</v>
      </c>
      <c r="E84" s="165"/>
      <c r="F84" s="165">
        <f>1</f>
        <v>1</v>
      </c>
      <c r="G84" s="166">
        <f>E82*F84</f>
        <v>4</v>
      </c>
    </row>
    <row r="85" spans="1:7" ht="15">
      <c r="A85" s="12" t="s">
        <v>0</v>
      </c>
      <c r="B85" s="13" t="s">
        <v>0</v>
      </c>
      <c r="C85" s="13" t="s">
        <v>47</v>
      </c>
      <c r="D85" s="13" t="s">
        <v>8</v>
      </c>
      <c r="E85" s="165"/>
      <c r="F85" s="165">
        <f>0.75</f>
        <v>0.75</v>
      </c>
      <c r="G85" s="166">
        <f>E82*F85</f>
        <v>3</v>
      </c>
    </row>
    <row r="86" spans="1:7" ht="15">
      <c r="A86" s="12" t="s">
        <v>0</v>
      </c>
      <c r="B86" s="13" t="s">
        <v>0</v>
      </c>
      <c r="C86" s="13" t="s">
        <v>76</v>
      </c>
      <c r="D86" s="13" t="s">
        <v>10</v>
      </c>
      <c r="E86" s="165"/>
      <c r="F86" s="165">
        <f>0.17</f>
        <v>0.17</v>
      </c>
      <c r="G86" s="166">
        <f>E82*F86</f>
        <v>0.68</v>
      </c>
    </row>
    <row r="87" spans="1:7" ht="15">
      <c r="A87" s="12" t="s">
        <v>0</v>
      </c>
      <c r="B87" s="13" t="s">
        <v>0</v>
      </c>
      <c r="C87" s="13" t="s">
        <v>0</v>
      </c>
      <c r="D87" s="13" t="s">
        <v>0</v>
      </c>
      <c r="E87" s="165"/>
      <c r="F87" s="165"/>
      <c r="G87" s="166"/>
    </row>
    <row r="88" spans="1:7" ht="15">
      <c r="A88" s="12" t="s">
        <v>81</v>
      </c>
      <c r="B88" s="13" t="s">
        <v>82</v>
      </c>
      <c r="C88" s="13" t="s">
        <v>83</v>
      </c>
      <c r="D88" s="13" t="s">
        <v>71</v>
      </c>
      <c r="E88" s="165">
        <f>'Du toan chi tiet'!E34</f>
        <v>7</v>
      </c>
      <c r="F88" s="165"/>
      <c r="G88" s="166"/>
    </row>
    <row r="89" spans="1:7" ht="15">
      <c r="A89" s="12" t="s">
        <v>0</v>
      </c>
      <c r="B89" s="13" t="s">
        <v>0</v>
      </c>
      <c r="C89" s="13" t="s">
        <v>84</v>
      </c>
      <c r="D89" s="13" t="s">
        <v>73</v>
      </c>
      <c r="E89" s="165"/>
      <c r="F89" s="165">
        <f>1</f>
        <v>1</v>
      </c>
      <c r="G89" s="166">
        <f>E88*F89</f>
        <v>7</v>
      </c>
    </row>
    <row r="90" spans="1:7" ht="15">
      <c r="A90" s="12" t="s">
        <v>0</v>
      </c>
      <c r="B90" s="13" t="s">
        <v>0</v>
      </c>
      <c r="C90" s="13" t="s">
        <v>74</v>
      </c>
      <c r="D90" s="13" t="s">
        <v>75</v>
      </c>
      <c r="E90" s="165"/>
      <c r="F90" s="165">
        <f>1</f>
        <v>1</v>
      </c>
      <c r="G90" s="166">
        <f>E88*F90</f>
        <v>7</v>
      </c>
    </row>
    <row r="91" spans="1:7" ht="15">
      <c r="A91" s="12" t="s">
        <v>0</v>
      </c>
      <c r="B91" s="13" t="s">
        <v>0</v>
      </c>
      <c r="C91" s="13" t="s">
        <v>47</v>
      </c>
      <c r="D91" s="13" t="s">
        <v>8</v>
      </c>
      <c r="E91" s="165"/>
      <c r="F91" s="165">
        <f>0.75</f>
        <v>0.75</v>
      </c>
      <c r="G91" s="166">
        <f>E88*F91</f>
        <v>5.25</v>
      </c>
    </row>
    <row r="92" spans="1:7" ht="15">
      <c r="A92" s="12" t="s">
        <v>0</v>
      </c>
      <c r="B92" s="13" t="s">
        <v>0</v>
      </c>
      <c r="C92" s="13" t="s">
        <v>76</v>
      </c>
      <c r="D92" s="13" t="s">
        <v>10</v>
      </c>
      <c r="E92" s="165"/>
      <c r="F92" s="165">
        <f>0.17</f>
        <v>0.17</v>
      </c>
      <c r="G92" s="166">
        <f>E88*F92</f>
        <v>1.1900000000000002</v>
      </c>
    </row>
    <row r="93" spans="1:7" ht="15">
      <c r="A93" s="12" t="s">
        <v>0</v>
      </c>
      <c r="B93" s="13" t="s">
        <v>0</v>
      </c>
      <c r="C93" s="13" t="s">
        <v>0</v>
      </c>
      <c r="D93" s="13" t="s">
        <v>0</v>
      </c>
      <c r="E93" s="165"/>
      <c r="F93" s="165"/>
      <c r="G93" s="166"/>
    </row>
    <row r="94" spans="1:7" ht="15">
      <c r="A94" s="12" t="s">
        <v>85</v>
      </c>
      <c r="B94" s="13" t="s">
        <v>86</v>
      </c>
      <c r="C94" s="13" t="s">
        <v>87</v>
      </c>
      <c r="D94" s="13" t="s">
        <v>88</v>
      </c>
      <c r="E94" s="165">
        <f>'Du toan chi tiet'!E36</f>
        <v>86</v>
      </c>
      <c r="F94" s="165"/>
      <c r="G94" s="166"/>
    </row>
    <row r="95" spans="1:7" ht="15">
      <c r="A95" s="12" t="s">
        <v>0</v>
      </c>
      <c r="B95" s="13" t="s">
        <v>0</v>
      </c>
      <c r="C95" s="13" t="s">
        <v>89</v>
      </c>
      <c r="D95" s="13" t="s">
        <v>73</v>
      </c>
      <c r="E95" s="165"/>
      <c r="F95" s="165">
        <f>1</f>
        <v>1</v>
      </c>
      <c r="G95" s="166">
        <f>E94*F95</f>
        <v>86</v>
      </c>
    </row>
    <row r="96" spans="1:7" ht="15">
      <c r="A96" s="12" t="s">
        <v>0</v>
      </c>
      <c r="B96" s="13" t="s">
        <v>0</v>
      </c>
      <c r="C96" s="13" t="s">
        <v>47</v>
      </c>
      <c r="D96" s="13" t="s">
        <v>8</v>
      </c>
      <c r="E96" s="165"/>
      <c r="F96" s="165">
        <f>0.26</f>
        <v>0.26</v>
      </c>
      <c r="G96" s="166">
        <f>E94*F96</f>
        <v>22.36</v>
      </c>
    </row>
    <row r="97" spans="1:7" ht="15">
      <c r="A97" s="12" t="s">
        <v>0</v>
      </c>
      <c r="B97" s="13" t="s">
        <v>0</v>
      </c>
      <c r="C97" s="13" t="s">
        <v>76</v>
      </c>
      <c r="D97" s="13" t="s">
        <v>10</v>
      </c>
      <c r="E97" s="165"/>
      <c r="F97" s="165">
        <f>0.13</f>
        <v>0.13</v>
      </c>
      <c r="G97" s="166">
        <f>E94*F97</f>
        <v>11.18</v>
      </c>
    </row>
    <row r="98" spans="1:7" ht="15">
      <c r="A98" s="12" t="s">
        <v>0</v>
      </c>
      <c r="B98" s="13" t="s">
        <v>0</v>
      </c>
      <c r="C98" s="13" t="s">
        <v>0</v>
      </c>
      <c r="D98" s="13" t="s">
        <v>0</v>
      </c>
      <c r="E98" s="165"/>
      <c r="F98" s="165"/>
      <c r="G98" s="166"/>
    </row>
    <row r="99" spans="1:7" ht="15">
      <c r="A99" s="12" t="s">
        <v>90</v>
      </c>
      <c r="B99" s="13" t="s">
        <v>91</v>
      </c>
      <c r="C99" s="13" t="s">
        <v>92</v>
      </c>
      <c r="D99" s="13" t="s">
        <v>93</v>
      </c>
      <c r="E99" s="165">
        <f>'Du toan chi tiet'!E38</f>
        <v>2</v>
      </c>
      <c r="F99" s="165"/>
      <c r="G99" s="166"/>
    </row>
    <row r="100" spans="1:7" ht="15">
      <c r="A100" s="12" t="s">
        <v>0</v>
      </c>
      <c r="B100" s="13" t="s">
        <v>0</v>
      </c>
      <c r="C100" s="13" t="s">
        <v>94</v>
      </c>
      <c r="D100" s="13" t="s">
        <v>73</v>
      </c>
      <c r="E100" s="165"/>
      <c r="F100" s="165">
        <f>1</f>
        <v>1</v>
      </c>
      <c r="G100" s="166">
        <f>E99*F100</f>
        <v>2</v>
      </c>
    </row>
    <row r="101" spans="1:7" ht="15">
      <c r="A101" s="12" t="s">
        <v>0</v>
      </c>
      <c r="B101" s="13" t="s">
        <v>0</v>
      </c>
      <c r="C101" s="13" t="s">
        <v>95</v>
      </c>
      <c r="D101" s="13" t="s">
        <v>73</v>
      </c>
      <c r="E101" s="165"/>
      <c r="F101" s="165">
        <f>1</f>
        <v>1</v>
      </c>
      <c r="G101" s="166">
        <f>E99*F101</f>
        <v>2</v>
      </c>
    </row>
    <row r="102" spans="1:7" ht="15">
      <c r="A102" s="12" t="s">
        <v>0</v>
      </c>
      <c r="B102" s="13" t="s">
        <v>0</v>
      </c>
      <c r="C102" s="13" t="s">
        <v>96</v>
      </c>
      <c r="D102" s="13" t="s">
        <v>73</v>
      </c>
      <c r="E102" s="165"/>
      <c r="F102" s="165">
        <f>1</f>
        <v>1</v>
      </c>
      <c r="G102" s="166">
        <f>E99*F102</f>
        <v>2</v>
      </c>
    </row>
    <row r="103" spans="1:7" ht="15">
      <c r="A103" s="12" t="s">
        <v>0</v>
      </c>
      <c r="B103" s="13" t="s">
        <v>0</v>
      </c>
      <c r="C103" s="13" t="s">
        <v>47</v>
      </c>
      <c r="D103" s="13" t="s">
        <v>8</v>
      </c>
      <c r="E103" s="165"/>
      <c r="F103" s="165">
        <f>1.53</f>
        <v>1.53</v>
      </c>
      <c r="G103" s="166">
        <f>E99*F103</f>
        <v>3.06</v>
      </c>
    </row>
    <row r="104" spans="1:7" ht="15">
      <c r="A104" s="12" t="s">
        <v>0</v>
      </c>
      <c r="B104" s="13" t="s">
        <v>0</v>
      </c>
      <c r="C104" s="13" t="s">
        <v>0</v>
      </c>
      <c r="D104" s="13" t="s">
        <v>0</v>
      </c>
      <c r="E104" s="165"/>
      <c r="F104" s="165"/>
      <c r="G104" s="166"/>
    </row>
    <row r="105" spans="1:7" ht="15">
      <c r="A105" s="12" t="s">
        <v>97</v>
      </c>
      <c r="B105" s="13" t="s">
        <v>98</v>
      </c>
      <c r="C105" s="13" t="s">
        <v>99</v>
      </c>
      <c r="D105" s="13" t="s">
        <v>88</v>
      </c>
      <c r="E105" s="165">
        <f>'Du toan chi tiet'!E40</f>
        <v>6</v>
      </c>
      <c r="F105" s="165"/>
      <c r="G105" s="166"/>
    </row>
    <row r="106" spans="1:7" ht="15">
      <c r="A106" s="12" t="s">
        <v>0</v>
      </c>
      <c r="B106" s="13" t="s">
        <v>0</v>
      </c>
      <c r="C106" s="13" t="s">
        <v>100</v>
      </c>
      <c r="D106" s="13" t="s">
        <v>19</v>
      </c>
      <c r="E106" s="165"/>
      <c r="F106" s="165">
        <f>67.9</f>
        <v>67.9</v>
      </c>
      <c r="G106" s="166">
        <f>E105*F106</f>
        <v>407.40000000000003</v>
      </c>
    </row>
    <row r="107" spans="1:7" ht="15">
      <c r="A107" s="12" t="s">
        <v>0</v>
      </c>
      <c r="B107" s="13" t="s">
        <v>0</v>
      </c>
      <c r="C107" s="13" t="s">
        <v>101</v>
      </c>
      <c r="D107" s="13" t="s">
        <v>75</v>
      </c>
      <c r="E107" s="165"/>
      <c r="F107" s="165">
        <f>2</f>
        <v>2</v>
      </c>
      <c r="G107" s="166">
        <f>E105*F107</f>
        <v>12</v>
      </c>
    </row>
    <row r="108" spans="1:7" ht="15">
      <c r="A108" s="12" t="s">
        <v>0</v>
      </c>
      <c r="B108" s="13" t="s">
        <v>0</v>
      </c>
      <c r="C108" s="13" t="s">
        <v>102</v>
      </c>
      <c r="D108" s="13" t="s">
        <v>103</v>
      </c>
      <c r="E108" s="165"/>
      <c r="F108" s="165">
        <f>2.5</f>
        <v>2.5</v>
      </c>
      <c r="G108" s="166">
        <f>E105*F108</f>
        <v>15</v>
      </c>
    </row>
    <row r="109" spans="1:7" ht="15">
      <c r="A109" s="12" t="s">
        <v>0</v>
      </c>
      <c r="B109" s="13" t="s">
        <v>0</v>
      </c>
      <c r="C109" s="13" t="s">
        <v>47</v>
      </c>
      <c r="D109" s="13" t="s">
        <v>8</v>
      </c>
      <c r="E109" s="165"/>
      <c r="F109" s="165">
        <f>0.33</f>
        <v>0.33</v>
      </c>
      <c r="G109" s="166">
        <f>E105*F109</f>
        <v>1.98</v>
      </c>
    </row>
    <row r="110" spans="1:7" ht="15">
      <c r="A110" s="12" t="s">
        <v>0</v>
      </c>
      <c r="B110" s="13" t="s">
        <v>0</v>
      </c>
      <c r="C110" s="13" t="s">
        <v>104</v>
      </c>
      <c r="D110" s="13" t="s">
        <v>10</v>
      </c>
      <c r="E110" s="165"/>
      <c r="F110" s="165">
        <f>0.3</f>
        <v>0.3</v>
      </c>
      <c r="G110" s="166">
        <f>E105*F110</f>
        <v>1.7999999999999998</v>
      </c>
    </row>
    <row r="111" spans="1:7" ht="15">
      <c r="A111" s="12" t="s">
        <v>0</v>
      </c>
      <c r="B111" s="13" t="s">
        <v>0</v>
      </c>
      <c r="C111" s="13" t="s">
        <v>105</v>
      </c>
      <c r="D111" s="13" t="s">
        <v>10</v>
      </c>
      <c r="E111" s="165"/>
      <c r="F111" s="165">
        <f>0.15</f>
        <v>0.15</v>
      </c>
      <c r="G111" s="166">
        <f>E105*F111</f>
        <v>0.8999999999999999</v>
      </c>
    </row>
    <row r="112" spans="1:7" ht="15">
      <c r="A112" s="12" t="s">
        <v>0</v>
      </c>
      <c r="B112" s="13" t="s">
        <v>0</v>
      </c>
      <c r="C112" s="13" t="s">
        <v>0</v>
      </c>
      <c r="D112" s="13" t="s">
        <v>0</v>
      </c>
      <c r="E112" s="165"/>
      <c r="F112" s="165"/>
      <c r="G112" s="166"/>
    </row>
    <row r="113" spans="1:7" ht="15">
      <c r="A113" s="12" t="s">
        <v>106</v>
      </c>
      <c r="B113" s="13" t="s">
        <v>107</v>
      </c>
      <c r="C113" s="13" t="s">
        <v>108</v>
      </c>
      <c r="D113" s="13" t="s">
        <v>109</v>
      </c>
      <c r="E113" s="165">
        <f>'Du toan chi tiet'!E42</f>
        <v>3302</v>
      </c>
      <c r="F113" s="165"/>
      <c r="G113" s="166"/>
    </row>
    <row r="114" spans="1:7" ht="15">
      <c r="A114" s="12" t="s">
        <v>0</v>
      </c>
      <c r="B114" s="13" t="s">
        <v>0</v>
      </c>
      <c r="C114" s="13" t="s">
        <v>110</v>
      </c>
      <c r="D114" s="13" t="s">
        <v>0</v>
      </c>
      <c r="E114" s="165"/>
      <c r="F114" s="165"/>
      <c r="G114" s="166"/>
    </row>
    <row r="115" spans="1:7" ht="15">
      <c r="A115" s="12" t="s">
        <v>0</v>
      </c>
      <c r="B115" s="13" t="s">
        <v>0</v>
      </c>
      <c r="C115" s="13" t="s">
        <v>111</v>
      </c>
      <c r="D115" s="13" t="s">
        <v>103</v>
      </c>
      <c r="E115" s="165"/>
      <c r="F115" s="165">
        <f>1</f>
        <v>1</v>
      </c>
      <c r="G115" s="166">
        <f>E113*F115</f>
        <v>3302</v>
      </c>
    </row>
    <row r="116" spans="1:7" ht="15">
      <c r="A116" s="12" t="s">
        <v>0</v>
      </c>
      <c r="B116" s="13" t="s">
        <v>0</v>
      </c>
      <c r="C116" s="13" t="s">
        <v>47</v>
      </c>
      <c r="D116" s="13" t="s">
        <v>8</v>
      </c>
      <c r="E116" s="165"/>
      <c r="F116" s="165">
        <f>0.0098</f>
        <v>0.0098</v>
      </c>
      <c r="G116" s="166">
        <f>E113*F116</f>
        <v>32.3596</v>
      </c>
    </row>
    <row r="117" spans="1:7" ht="15">
      <c r="A117" s="12" t="s">
        <v>0</v>
      </c>
      <c r="B117" s="13" t="s">
        <v>0</v>
      </c>
      <c r="C117" s="13" t="s">
        <v>76</v>
      </c>
      <c r="D117" s="13" t="s">
        <v>10</v>
      </c>
      <c r="E117" s="165"/>
      <c r="F117" s="165">
        <f>0.0025</f>
        <v>0.0025</v>
      </c>
      <c r="G117" s="166">
        <f>E113*F117</f>
        <v>8.255</v>
      </c>
    </row>
    <row r="118" spans="1:7" ht="15">
      <c r="A118" s="12" t="s">
        <v>0</v>
      </c>
      <c r="B118" s="13" t="s">
        <v>0</v>
      </c>
      <c r="C118" s="13" t="s">
        <v>0</v>
      </c>
      <c r="D118" s="13" t="s">
        <v>0</v>
      </c>
      <c r="E118" s="165"/>
      <c r="F118" s="165"/>
      <c r="G118" s="166"/>
    </row>
    <row r="119" spans="1:7" ht="15">
      <c r="A119" s="12" t="s">
        <v>112</v>
      </c>
      <c r="B119" s="13" t="s">
        <v>113</v>
      </c>
      <c r="C119" s="13" t="s">
        <v>114</v>
      </c>
      <c r="D119" s="13" t="s">
        <v>109</v>
      </c>
      <c r="E119" s="165">
        <f>'Du toan chi tiet'!E44</f>
        <v>535</v>
      </c>
      <c r="F119" s="165"/>
      <c r="G119" s="166"/>
    </row>
    <row r="120" spans="1:7" ht="15">
      <c r="A120" s="12" t="s">
        <v>0</v>
      </c>
      <c r="B120" s="13" t="s">
        <v>0</v>
      </c>
      <c r="C120" s="13" t="s">
        <v>115</v>
      </c>
      <c r="D120" s="13" t="s">
        <v>103</v>
      </c>
      <c r="E120" s="165"/>
      <c r="F120" s="165">
        <f>1</f>
        <v>1</v>
      </c>
      <c r="G120" s="166">
        <f>E119*F120</f>
        <v>535</v>
      </c>
    </row>
    <row r="121" spans="1:7" ht="15">
      <c r="A121" s="12" t="s">
        <v>0</v>
      </c>
      <c r="B121" s="13" t="s">
        <v>0</v>
      </c>
      <c r="C121" s="13" t="s">
        <v>47</v>
      </c>
      <c r="D121" s="13" t="s">
        <v>8</v>
      </c>
      <c r="E121" s="165"/>
      <c r="F121" s="165">
        <f>0.013</f>
        <v>0.013</v>
      </c>
      <c r="G121" s="166">
        <f>E119*F121</f>
        <v>6.955</v>
      </c>
    </row>
    <row r="122" spans="1:7" ht="15">
      <c r="A122" s="12" t="s">
        <v>0</v>
      </c>
      <c r="B122" s="13" t="s">
        <v>0</v>
      </c>
      <c r="C122" s="13" t="s">
        <v>0</v>
      </c>
      <c r="D122" s="13" t="s">
        <v>0</v>
      </c>
      <c r="E122" s="165"/>
      <c r="F122" s="165"/>
      <c r="G122" s="166"/>
    </row>
    <row r="123" spans="1:7" ht="15">
      <c r="A123" s="12" t="s">
        <v>116</v>
      </c>
      <c r="B123" s="13" t="s">
        <v>117</v>
      </c>
      <c r="C123" s="13" t="s">
        <v>118</v>
      </c>
      <c r="D123" s="13" t="s">
        <v>119</v>
      </c>
      <c r="E123" s="165">
        <f>'Du toan chi tiet'!E46</f>
        <v>1</v>
      </c>
      <c r="F123" s="165"/>
      <c r="G123" s="166"/>
    </row>
    <row r="124" spans="1:7" ht="15">
      <c r="A124" s="12" t="s">
        <v>0</v>
      </c>
      <c r="B124" s="13" t="s">
        <v>0</v>
      </c>
      <c r="C124" s="13" t="s">
        <v>120</v>
      </c>
      <c r="D124" s="13" t="s">
        <v>121</v>
      </c>
      <c r="E124" s="165"/>
      <c r="F124" s="165">
        <f>1</f>
        <v>1</v>
      </c>
      <c r="G124" s="166">
        <f>E123*F124</f>
        <v>1</v>
      </c>
    </row>
    <row r="125" spans="1:7" ht="15">
      <c r="A125" s="12" t="s">
        <v>0</v>
      </c>
      <c r="B125" s="13" t="s">
        <v>0</v>
      </c>
      <c r="C125" s="13" t="s">
        <v>122</v>
      </c>
      <c r="D125" s="13" t="s">
        <v>121</v>
      </c>
      <c r="E125" s="165"/>
      <c r="F125" s="165">
        <f>1</f>
        <v>1</v>
      </c>
      <c r="G125" s="166">
        <f>E123*F125</f>
        <v>1</v>
      </c>
    </row>
    <row r="126" spans="1:7" ht="15">
      <c r="A126" s="12" t="s">
        <v>0</v>
      </c>
      <c r="B126" s="13" t="s">
        <v>0</v>
      </c>
      <c r="C126" s="13" t="s">
        <v>123</v>
      </c>
      <c r="D126" s="13" t="s">
        <v>103</v>
      </c>
      <c r="E126" s="165"/>
      <c r="F126" s="165">
        <f>1.5</f>
        <v>1.5</v>
      </c>
      <c r="G126" s="166">
        <f>E123*F126</f>
        <v>1.5</v>
      </c>
    </row>
    <row r="127" spans="1:7" ht="15">
      <c r="A127" s="12" t="s">
        <v>0</v>
      </c>
      <c r="B127" s="13" t="s">
        <v>0</v>
      </c>
      <c r="C127" s="13" t="s">
        <v>124</v>
      </c>
      <c r="D127" s="13" t="s">
        <v>119</v>
      </c>
      <c r="E127" s="165"/>
      <c r="F127" s="165">
        <f>1</f>
        <v>1</v>
      </c>
      <c r="G127" s="166">
        <f>E123*F127</f>
        <v>1</v>
      </c>
    </row>
    <row r="128" spans="1:7" ht="15">
      <c r="A128" s="12" t="s">
        <v>0</v>
      </c>
      <c r="B128" s="13" t="s">
        <v>0</v>
      </c>
      <c r="C128" s="13" t="s">
        <v>0</v>
      </c>
      <c r="D128" s="13" t="s">
        <v>0</v>
      </c>
      <c r="E128" s="165"/>
      <c r="F128" s="165"/>
      <c r="G128" s="166"/>
    </row>
    <row r="129" spans="1:7" ht="15">
      <c r="A129" s="12" t="s">
        <v>125</v>
      </c>
      <c r="B129" s="13" t="s">
        <v>126</v>
      </c>
      <c r="C129" s="13" t="s">
        <v>127</v>
      </c>
      <c r="D129" s="13" t="s">
        <v>119</v>
      </c>
      <c r="E129" s="165">
        <f>'Du toan chi tiet'!E48</f>
        <v>2</v>
      </c>
      <c r="F129" s="165"/>
      <c r="G129" s="166"/>
    </row>
    <row r="130" spans="1:7" ht="15">
      <c r="A130" s="12" t="s">
        <v>0</v>
      </c>
      <c r="B130" s="13" t="s">
        <v>0</v>
      </c>
      <c r="C130" s="13" t="s">
        <v>128</v>
      </c>
      <c r="D130" s="13" t="s">
        <v>103</v>
      </c>
      <c r="E130" s="165"/>
      <c r="F130" s="165">
        <f>24</f>
        <v>24</v>
      </c>
      <c r="G130" s="166">
        <f>E129*F130</f>
        <v>48</v>
      </c>
    </row>
    <row r="131" spans="1:7" ht="15">
      <c r="A131" s="12" t="s">
        <v>0</v>
      </c>
      <c r="B131" s="13" t="s">
        <v>0</v>
      </c>
      <c r="C131" s="13" t="s">
        <v>129</v>
      </c>
      <c r="D131" s="13" t="s">
        <v>121</v>
      </c>
      <c r="E131" s="165"/>
      <c r="F131" s="165">
        <f>8</f>
        <v>8</v>
      </c>
      <c r="G131" s="166">
        <f>E129*F131</f>
        <v>16</v>
      </c>
    </row>
    <row r="132" spans="1:7" ht="15">
      <c r="A132" s="12" t="s">
        <v>0</v>
      </c>
      <c r="B132" s="13" t="s">
        <v>0</v>
      </c>
      <c r="C132" s="13" t="s">
        <v>130</v>
      </c>
      <c r="D132" s="13" t="s">
        <v>103</v>
      </c>
      <c r="E132" s="165"/>
      <c r="F132" s="165">
        <f>3</f>
        <v>3</v>
      </c>
      <c r="G132" s="166">
        <f>E129*F132</f>
        <v>6</v>
      </c>
    </row>
    <row r="133" spans="1:7" ht="15">
      <c r="A133" s="12" t="s">
        <v>0</v>
      </c>
      <c r="B133" s="13" t="s">
        <v>0</v>
      </c>
      <c r="C133" s="13" t="s">
        <v>0</v>
      </c>
      <c r="D133" s="13" t="s">
        <v>0</v>
      </c>
      <c r="E133" s="165"/>
      <c r="F133" s="165"/>
      <c r="G133" s="166"/>
    </row>
    <row r="134" spans="1:7" ht="15">
      <c r="A134" s="12" t="s">
        <v>131</v>
      </c>
      <c r="B134" s="13" t="s">
        <v>132</v>
      </c>
      <c r="C134" s="13" t="s">
        <v>133</v>
      </c>
      <c r="D134" s="13" t="s">
        <v>73</v>
      </c>
      <c r="E134" s="165">
        <f>'Du toan chi tiet'!E50</f>
        <v>2</v>
      </c>
      <c r="F134" s="165"/>
      <c r="G134" s="166"/>
    </row>
    <row r="135" spans="1:7" ht="15">
      <c r="A135" s="12" t="s">
        <v>0</v>
      </c>
      <c r="B135" s="13" t="s">
        <v>0</v>
      </c>
      <c r="C135" s="13" t="s">
        <v>134</v>
      </c>
      <c r="D135" s="13" t="s">
        <v>121</v>
      </c>
      <c r="E135" s="165"/>
      <c r="F135" s="165">
        <f>1</f>
        <v>1</v>
      </c>
      <c r="G135" s="166">
        <f>E134*F135</f>
        <v>2</v>
      </c>
    </row>
    <row r="136" spans="1:7" ht="15">
      <c r="A136" s="12" t="s">
        <v>0</v>
      </c>
      <c r="B136" s="13" t="s">
        <v>0</v>
      </c>
      <c r="C136" s="13" t="s">
        <v>135</v>
      </c>
      <c r="D136" s="13" t="s">
        <v>121</v>
      </c>
      <c r="E136" s="165"/>
      <c r="F136" s="165">
        <f>1</f>
        <v>1</v>
      </c>
      <c r="G136" s="166">
        <f>E134*F136</f>
        <v>2</v>
      </c>
    </row>
    <row r="137" spans="1:7" ht="15">
      <c r="A137" s="12" t="s">
        <v>0</v>
      </c>
      <c r="B137" s="13" t="s">
        <v>0</v>
      </c>
      <c r="C137" s="13" t="s">
        <v>136</v>
      </c>
      <c r="D137" s="13" t="s">
        <v>119</v>
      </c>
      <c r="E137" s="165"/>
      <c r="F137" s="165">
        <f>2</f>
        <v>2</v>
      </c>
      <c r="G137" s="166">
        <f>E134*F137</f>
        <v>4</v>
      </c>
    </row>
    <row r="138" spans="1:7" ht="15">
      <c r="A138" s="12" t="s">
        <v>0</v>
      </c>
      <c r="B138" s="13" t="s">
        <v>0</v>
      </c>
      <c r="C138" s="13" t="s">
        <v>137</v>
      </c>
      <c r="D138" s="13" t="s">
        <v>103</v>
      </c>
      <c r="E138" s="165"/>
      <c r="F138" s="165">
        <f>3.6</f>
        <v>3.6</v>
      </c>
      <c r="G138" s="166">
        <f>E134*F138</f>
        <v>7.2</v>
      </c>
    </row>
    <row r="139" spans="1:7" ht="15">
      <c r="A139" s="12" t="s">
        <v>0</v>
      </c>
      <c r="B139" s="13" t="s">
        <v>0</v>
      </c>
      <c r="C139" s="13" t="s">
        <v>138</v>
      </c>
      <c r="D139" s="13" t="s">
        <v>139</v>
      </c>
      <c r="E139" s="165"/>
      <c r="F139" s="165">
        <f>1</f>
        <v>1</v>
      </c>
      <c r="G139" s="166">
        <f>E134*F139</f>
        <v>2</v>
      </c>
    </row>
    <row r="140" spans="1:7" ht="15">
      <c r="A140" s="12" t="s">
        <v>0</v>
      </c>
      <c r="B140" s="13" t="s">
        <v>0</v>
      </c>
      <c r="C140" s="13" t="s">
        <v>140</v>
      </c>
      <c r="D140" s="13" t="s">
        <v>121</v>
      </c>
      <c r="E140" s="165"/>
      <c r="F140" s="165">
        <f>4</f>
        <v>4</v>
      </c>
      <c r="G140" s="166">
        <f>E134*F140</f>
        <v>8</v>
      </c>
    </row>
    <row r="141" spans="1:7" ht="15">
      <c r="A141" s="12" t="s">
        <v>0</v>
      </c>
      <c r="B141" s="13" t="s">
        <v>0</v>
      </c>
      <c r="C141" s="13" t="s">
        <v>0</v>
      </c>
      <c r="D141" s="13" t="s">
        <v>0</v>
      </c>
      <c r="E141" s="165"/>
      <c r="F141" s="165"/>
      <c r="G141" s="166"/>
    </row>
    <row r="142" spans="1:7" ht="15">
      <c r="A142" s="12" t="s">
        <v>141</v>
      </c>
      <c r="B142" s="13" t="s">
        <v>142</v>
      </c>
      <c r="C142" s="13" t="s">
        <v>143</v>
      </c>
      <c r="D142" s="13" t="s">
        <v>73</v>
      </c>
      <c r="E142" s="165">
        <f>'Du toan chi tiet'!E52</f>
        <v>53</v>
      </c>
      <c r="F142" s="165"/>
      <c r="G142" s="166"/>
    </row>
    <row r="143" spans="1:7" ht="15">
      <c r="A143" s="12" t="s">
        <v>0</v>
      </c>
      <c r="B143" s="13" t="s">
        <v>0</v>
      </c>
      <c r="C143" s="13" t="s">
        <v>144</v>
      </c>
      <c r="D143" s="13" t="s">
        <v>121</v>
      </c>
      <c r="E143" s="165"/>
      <c r="F143" s="165">
        <f>1</f>
        <v>1</v>
      </c>
      <c r="G143" s="166">
        <f>E142*F143</f>
        <v>53</v>
      </c>
    </row>
    <row r="144" spans="1:7" ht="15">
      <c r="A144" s="12" t="s">
        <v>0</v>
      </c>
      <c r="B144" s="13" t="s">
        <v>0</v>
      </c>
      <c r="C144" s="13" t="s">
        <v>145</v>
      </c>
      <c r="D144" s="13" t="s">
        <v>121</v>
      </c>
      <c r="E144" s="165"/>
      <c r="F144" s="165">
        <f>1</f>
        <v>1</v>
      </c>
      <c r="G144" s="166">
        <f>E142*F144</f>
        <v>53</v>
      </c>
    </row>
    <row r="145" spans="1:7" ht="15">
      <c r="A145" s="12" t="s">
        <v>0</v>
      </c>
      <c r="B145" s="13" t="s">
        <v>0</v>
      </c>
      <c r="C145" s="13" t="s">
        <v>0</v>
      </c>
      <c r="D145" s="13" t="s">
        <v>0</v>
      </c>
      <c r="E145" s="165"/>
      <c r="F145" s="165"/>
      <c r="G145" s="166"/>
    </row>
    <row r="146" spans="1:7" ht="15">
      <c r="A146" s="12" t="s">
        <v>146</v>
      </c>
      <c r="B146" s="13" t="s">
        <v>147</v>
      </c>
      <c r="C146" s="13" t="s">
        <v>148</v>
      </c>
      <c r="D146" s="13" t="s">
        <v>73</v>
      </c>
      <c r="E146" s="165">
        <f>'Du toan chi tiet'!E54</f>
        <v>6</v>
      </c>
      <c r="F146" s="165"/>
      <c r="G146" s="166"/>
    </row>
    <row r="147" spans="1:7" ht="15">
      <c r="A147" s="12" t="s">
        <v>0</v>
      </c>
      <c r="B147" s="13" t="s">
        <v>0</v>
      </c>
      <c r="C147" s="13" t="s">
        <v>134</v>
      </c>
      <c r="D147" s="13" t="s">
        <v>121</v>
      </c>
      <c r="E147" s="165"/>
      <c r="F147" s="165">
        <f>2</f>
        <v>2</v>
      </c>
      <c r="G147" s="166">
        <f>E146*F147</f>
        <v>12</v>
      </c>
    </row>
    <row r="148" spans="1:7" ht="15">
      <c r="A148" s="12" t="s">
        <v>0</v>
      </c>
      <c r="B148" s="13" t="s">
        <v>0</v>
      </c>
      <c r="C148" s="13" t="s">
        <v>135</v>
      </c>
      <c r="D148" s="13" t="s">
        <v>121</v>
      </c>
      <c r="E148" s="165"/>
      <c r="F148" s="165">
        <f>2</f>
        <v>2</v>
      </c>
      <c r="G148" s="166">
        <f>E146*F148</f>
        <v>12</v>
      </c>
    </row>
    <row r="149" spans="1:7" ht="15">
      <c r="A149" s="12" t="s">
        <v>0</v>
      </c>
      <c r="B149" s="13" t="s">
        <v>0</v>
      </c>
      <c r="C149" s="13" t="s">
        <v>136</v>
      </c>
      <c r="D149" s="13" t="s">
        <v>119</v>
      </c>
      <c r="E149" s="165"/>
      <c r="F149" s="165">
        <f>2</f>
        <v>2</v>
      </c>
      <c r="G149" s="166">
        <f>E146*F149</f>
        <v>12</v>
      </c>
    </row>
    <row r="150" spans="1:7" ht="15">
      <c r="A150" s="12" t="s">
        <v>0</v>
      </c>
      <c r="B150" s="13" t="s">
        <v>0</v>
      </c>
      <c r="C150" s="13" t="s">
        <v>137</v>
      </c>
      <c r="D150" s="13" t="s">
        <v>103</v>
      </c>
      <c r="E150" s="165"/>
      <c r="F150" s="165">
        <f>1.4</f>
        <v>1.4</v>
      </c>
      <c r="G150" s="166">
        <f>E146*F150</f>
        <v>8.399999999999999</v>
      </c>
    </row>
    <row r="151" spans="1:7" ht="15">
      <c r="A151" s="12" t="s">
        <v>0</v>
      </c>
      <c r="B151" s="13" t="s">
        <v>0</v>
      </c>
      <c r="C151" s="13" t="s">
        <v>0</v>
      </c>
      <c r="D151" s="13" t="s">
        <v>0</v>
      </c>
      <c r="E151" s="165"/>
      <c r="F151" s="165"/>
      <c r="G151" s="166"/>
    </row>
    <row r="152" spans="1:7" ht="15">
      <c r="A152" s="12" t="s">
        <v>149</v>
      </c>
      <c r="B152" s="13" t="s">
        <v>150</v>
      </c>
      <c r="C152" s="13" t="s">
        <v>151</v>
      </c>
      <c r="D152" s="13" t="s">
        <v>73</v>
      </c>
      <c r="E152" s="165">
        <f>'Du toan chi tiet'!E56</f>
        <v>2</v>
      </c>
      <c r="F152" s="165"/>
      <c r="G152" s="166"/>
    </row>
    <row r="153" spans="1:7" ht="15">
      <c r="A153" s="12" t="s">
        <v>0</v>
      </c>
      <c r="B153" s="13" t="s">
        <v>0</v>
      </c>
      <c r="C153" s="13" t="s">
        <v>144</v>
      </c>
      <c r="D153" s="13" t="s">
        <v>121</v>
      </c>
      <c r="E153" s="165"/>
      <c r="F153" s="165">
        <f>1</f>
        <v>1</v>
      </c>
      <c r="G153" s="166">
        <f>E152*F153</f>
        <v>2</v>
      </c>
    </row>
    <row r="154" spans="1:7" ht="15">
      <c r="A154" s="12" t="s">
        <v>0</v>
      </c>
      <c r="B154" s="13" t="s">
        <v>0</v>
      </c>
      <c r="C154" s="13" t="s">
        <v>135</v>
      </c>
      <c r="D154" s="13" t="s">
        <v>121</v>
      </c>
      <c r="E154" s="165"/>
      <c r="F154" s="165">
        <f>1</f>
        <v>1</v>
      </c>
      <c r="G154" s="166">
        <f>E152*F154</f>
        <v>2</v>
      </c>
    </row>
    <row r="155" spans="1:7" ht="15">
      <c r="A155" s="12" t="s">
        <v>0</v>
      </c>
      <c r="B155" s="13" t="s">
        <v>0</v>
      </c>
      <c r="C155" s="13" t="s">
        <v>152</v>
      </c>
      <c r="D155" s="13" t="s">
        <v>121</v>
      </c>
      <c r="E155" s="165"/>
      <c r="F155" s="165">
        <f>4</f>
        <v>4</v>
      </c>
      <c r="G155" s="166">
        <f>E152*F155</f>
        <v>8</v>
      </c>
    </row>
    <row r="156" spans="1:7" ht="15">
      <c r="A156" s="12" t="s">
        <v>0</v>
      </c>
      <c r="B156" s="13" t="s">
        <v>0</v>
      </c>
      <c r="C156" s="13" t="s">
        <v>0</v>
      </c>
      <c r="D156" s="13" t="s">
        <v>0</v>
      </c>
      <c r="E156" s="165"/>
      <c r="F156" s="165"/>
      <c r="G156" s="166"/>
    </row>
    <row r="157" spans="1:7" ht="15">
      <c r="A157" s="12" t="s">
        <v>153</v>
      </c>
      <c r="B157" s="13" t="s">
        <v>154</v>
      </c>
      <c r="C157" s="13" t="s">
        <v>155</v>
      </c>
      <c r="D157" s="13" t="s">
        <v>73</v>
      </c>
      <c r="E157" s="165">
        <f>'Du toan chi tiet'!E58</f>
        <v>14</v>
      </c>
      <c r="F157" s="165"/>
      <c r="G157" s="166"/>
    </row>
    <row r="158" spans="1:7" ht="15">
      <c r="A158" s="12" t="s">
        <v>0</v>
      </c>
      <c r="B158" s="13" t="s">
        <v>0</v>
      </c>
      <c r="C158" s="13" t="s">
        <v>144</v>
      </c>
      <c r="D158" s="13" t="s">
        <v>121</v>
      </c>
      <c r="E158" s="165"/>
      <c r="F158" s="165">
        <f>1</f>
        <v>1</v>
      </c>
      <c r="G158" s="166">
        <f>E157*F158</f>
        <v>14</v>
      </c>
    </row>
    <row r="159" spans="1:7" ht="15">
      <c r="A159" s="12" t="s">
        <v>0</v>
      </c>
      <c r="B159" s="13" t="s">
        <v>0</v>
      </c>
      <c r="C159" s="13" t="s">
        <v>145</v>
      </c>
      <c r="D159" s="13" t="s">
        <v>121</v>
      </c>
      <c r="E159" s="165"/>
      <c r="F159" s="165">
        <f>1</f>
        <v>1</v>
      </c>
      <c r="G159" s="166">
        <f>E157*F159</f>
        <v>14</v>
      </c>
    </row>
    <row r="160" spans="1:7" ht="15">
      <c r="A160" s="12" t="s">
        <v>0</v>
      </c>
      <c r="B160" s="13" t="s">
        <v>0</v>
      </c>
      <c r="C160" s="13" t="s">
        <v>0</v>
      </c>
      <c r="D160" s="13" t="s">
        <v>0</v>
      </c>
      <c r="E160" s="165"/>
      <c r="F160" s="165"/>
      <c r="G160" s="166"/>
    </row>
    <row r="161" spans="1:7" ht="15">
      <c r="A161" s="12" t="s">
        <v>156</v>
      </c>
      <c r="B161" s="13" t="s">
        <v>157</v>
      </c>
      <c r="C161" s="13" t="s">
        <v>158</v>
      </c>
      <c r="D161" s="13" t="s">
        <v>73</v>
      </c>
      <c r="E161" s="165">
        <f>'Du toan chi tiet'!E60</f>
        <v>4</v>
      </c>
      <c r="F161" s="165"/>
      <c r="G161" s="166"/>
    </row>
    <row r="162" spans="1:7" ht="15">
      <c r="A162" s="12" t="s">
        <v>0</v>
      </c>
      <c r="B162" s="13" t="s">
        <v>0</v>
      </c>
      <c r="C162" s="13" t="s">
        <v>134</v>
      </c>
      <c r="D162" s="13" t="s">
        <v>121</v>
      </c>
      <c r="E162" s="165"/>
      <c r="F162" s="165">
        <f>2</f>
        <v>2</v>
      </c>
      <c r="G162" s="166">
        <f>E161*F162</f>
        <v>8</v>
      </c>
    </row>
    <row r="163" spans="1:7" ht="15">
      <c r="A163" s="12" t="s">
        <v>0</v>
      </c>
      <c r="B163" s="13" t="s">
        <v>0</v>
      </c>
      <c r="C163" s="13" t="s">
        <v>135</v>
      </c>
      <c r="D163" s="13" t="s">
        <v>121</v>
      </c>
      <c r="E163" s="165"/>
      <c r="F163" s="165">
        <f>2</f>
        <v>2</v>
      </c>
      <c r="G163" s="166">
        <f>E161*F163</f>
        <v>8</v>
      </c>
    </row>
    <row r="164" spans="1:7" ht="15">
      <c r="A164" s="12" t="s">
        <v>0</v>
      </c>
      <c r="B164" s="13" t="s">
        <v>0</v>
      </c>
      <c r="C164" s="13" t="s">
        <v>137</v>
      </c>
      <c r="D164" s="13" t="s">
        <v>103</v>
      </c>
      <c r="E164" s="165"/>
      <c r="F164" s="165">
        <f>1.8</f>
        <v>1.8</v>
      </c>
      <c r="G164" s="166">
        <f>E161*F164</f>
        <v>7.2</v>
      </c>
    </row>
    <row r="165" spans="1:7" ht="15">
      <c r="A165" s="12" t="s">
        <v>0</v>
      </c>
      <c r="B165" s="13" t="s">
        <v>0</v>
      </c>
      <c r="C165" s="13" t="s">
        <v>0</v>
      </c>
      <c r="D165" s="13" t="s">
        <v>0</v>
      </c>
      <c r="E165" s="165"/>
      <c r="F165" s="165"/>
      <c r="G165" s="166"/>
    </row>
    <row r="166" spans="1:7" ht="15">
      <c r="A166" s="12" t="s">
        <v>159</v>
      </c>
      <c r="B166" s="13" t="s">
        <v>160</v>
      </c>
      <c r="C166" s="13" t="s">
        <v>161</v>
      </c>
      <c r="D166" s="13" t="s">
        <v>73</v>
      </c>
      <c r="E166" s="165">
        <f>'Du toan chi tiet'!E62</f>
        <v>4</v>
      </c>
      <c r="F166" s="165"/>
      <c r="G166" s="166"/>
    </row>
    <row r="167" spans="1:7" ht="15">
      <c r="A167" s="12" t="s">
        <v>0</v>
      </c>
      <c r="B167" s="13" t="s">
        <v>0</v>
      </c>
      <c r="C167" s="13" t="s">
        <v>144</v>
      </c>
      <c r="D167" s="13" t="s">
        <v>121</v>
      </c>
      <c r="E167" s="165"/>
      <c r="F167" s="165">
        <f>1</f>
        <v>1</v>
      </c>
      <c r="G167" s="166">
        <f>E166*F167</f>
        <v>4</v>
      </c>
    </row>
    <row r="168" spans="1:7" ht="15">
      <c r="A168" s="12" t="s">
        <v>0</v>
      </c>
      <c r="B168" s="13" t="s">
        <v>0</v>
      </c>
      <c r="C168" s="13" t="s">
        <v>135</v>
      </c>
      <c r="D168" s="13" t="s">
        <v>121</v>
      </c>
      <c r="E168" s="165"/>
      <c r="F168" s="165">
        <f>1</f>
        <v>1</v>
      </c>
      <c r="G168" s="166">
        <f>E166*F168</f>
        <v>4</v>
      </c>
    </row>
    <row r="169" spans="1:7" ht="15">
      <c r="A169" s="12" t="s">
        <v>0</v>
      </c>
      <c r="B169" s="13" t="s">
        <v>0</v>
      </c>
      <c r="C169" s="13" t="s">
        <v>152</v>
      </c>
      <c r="D169" s="13" t="s">
        <v>121</v>
      </c>
      <c r="E169" s="165"/>
      <c r="F169" s="165">
        <f>4</f>
        <v>4</v>
      </c>
      <c r="G169" s="166">
        <f>E166*F169</f>
        <v>16</v>
      </c>
    </row>
    <row r="170" spans="1:7" ht="15">
      <c r="A170" s="12" t="s">
        <v>0</v>
      </c>
      <c r="B170" s="13" t="s">
        <v>0</v>
      </c>
      <c r="C170" s="13" t="s">
        <v>0</v>
      </c>
      <c r="D170" s="13" t="s">
        <v>0</v>
      </c>
      <c r="E170" s="165"/>
      <c r="F170" s="165"/>
      <c r="G170" s="166"/>
    </row>
    <row r="171" spans="1:7" ht="15">
      <c r="A171" s="12" t="s">
        <v>162</v>
      </c>
      <c r="B171" s="13" t="s">
        <v>163</v>
      </c>
      <c r="C171" s="13" t="s">
        <v>164</v>
      </c>
      <c r="D171" s="13" t="s">
        <v>73</v>
      </c>
      <c r="E171" s="165">
        <f>'Du toan chi tiet'!E64</f>
        <v>6</v>
      </c>
      <c r="F171" s="165"/>
      <c r="G171" s="166"/>
    </row>
    <row r="172" spans="1:7" ht="15">
      <c r="A172" s="12" t="s">
        <v>0</v>
      </c>
      <c r="B172" s="13" t="s">
        <v>0</v>
      </c>
      <c r="C172" s="13" t="s">
        <v>134</v>
      </c>
      <c r="D172" s="13" t="s">
        <v>121</v>
      </c>
      <c r="E172" s="165"/>
      <c r="F172" s="165">
        <f>2</f>
        <v>2</v>
      </c>
      <c r="G172" s="166">
        <f>E171*F172</f>
        <v>12</v>
      </c>
    </row>
    <row r="173" spans="1:7" ht="15">
      <c r="A173" s="12" t="s">
        <v>0</v>
      </c>
      <c r="B173" s="13" t="s">
        <v>0</v>
      </c>
      <c r="C173" s="13" t="s">
        <v>135</v>
      </c>
      <c r="D173" s="13" t="s">
        <v>121</v>
      </c>
      <c r="E173" s="165"/>
      <c r="F173" s="165">
        <f>2</f>
        <v>2</v>
      </c>
      <c r="G173" s="166">
        <f>E171*F173</f>
        <v>12</v>
      </c>
    </row>
    <row r="174" spans="1:7" ht="15">
      <c r="A174" s="12" t="s">
        <v>0</v>
      </c>
      <c r="B174" s="13" t="s">
        <v>0</v>
      </c>
      <c r="C174" s="13" t="s">
        <v>137</v>
      </c>
      <c r="D174" s="13" t="s">
        <v>103</v>
      </c>
      <c r="E174" s="165"/>
      <c r="F174" s="165">
        <f>5.4</f>
        <v>5.4</v>
      </c>
      <c r="G174" s="166">
        <f>E171*F174</f>
        <v>32.400000000000006</v>
      </c>
    </row>
    <row r="175" spans="1:7" ht="15">
      <c r="A175" s="12" t="s">
        <v>0</v>
      </c>
      <c r="B175" s="13" t="s">
        <v>0</v>
      </c>
      <c r="C175" s="13" t="s">
        <v>0</v>
      </c>
      <c r="D175" s="13" t="s">
        <v>0</v>
      </c>
      <c r="E175" s="165"/>
      <c r="F175" s="165"/>
      <c r="G175" s="166"/>
    </row>
    <row r="176" spans="1:7" ht="15">
      <c r="A176" s="12" t="s">
        <v>165</v>
      </c>
      <c r="B176" s="13" t="s">
        <v>166</v>
      </c>
      <c r="C176" s="13" t="s">
        <v>167</v>
      </c>
      <c r="D176" s="13" t="s">
        <v>75</v>
      </c>
      <c r="E176" s="165">
        <f>'Du toan chi tiet'!E66</f>
        <v>172</v>
      </c>
      <c r="F176" s="165"/>
      <c r="G176" s="166"/>
    </row>
    <row r="177" spans="1:7" ht="15">
      <c r="A177" s="12" t="s">
        <v>0</v>
      </c>
      <c r="B177" s="13" t="s">
        <v>0</v>
      </c>
      <c r="C177" s="13" t="s">
        <v>168</v>
      </c>
      <c r="D177" s="13" t="s">
        <v>121</v>
      </c>
      <c r="E177" s="165"/>
      <c r="F177" s="165">
        <f>1</f>
        <v>1</v>
      </c>
      <c r="G177" s="166">
        <f>E176*F177</f>
        <v>172</v>
      </c>
    </row>
    <row r="178" spans="1:7" ht="15">
      <c r="A178" s="12" t="s">
        <v>0</v>
      </c>
      <c r="B178" s="13" t="s">
        <v>0</v>
      </c>
      <c r="C178" s="13" t="s">
        <v>0</v>
      </c>
      <c r="D178" s="13" t="s">
        <v>0</v>
      </c>
      <c r="E178" s="165"/>
      <c r="F178" s="165"/>
      <c r="G178" s="166"/>
    </row>
    <row r="179" spans="1:7" ht="15">
      <c r="A179" s="12" t="s">
        <v>169</v>
      </c>
      <c r="B179" s="13" t="s">
        <v>170</v>
      </c>
      <c r="C179" s="13" t="s">
        <v>171</v>
      </c>
      <c r="D179" s="13" t="s">
        <v>58</v>
      </c>
      <c r="E179" s="165">
        <f>'Du toan chi tiet'!E68</f>
        <v>74</v>
      </c>
      <c r="F179" s="165"/>
      <c r="G179" s="166"/>
    </row>
    <row r="180" spans="1:7" ht="15">
      <c r="A180" s="12" t="s">
        <v>0</v>
      </c>
      <c r="B180" s="13" t="s">
        <v>0</v>
      </c>
      <c r="C180" s="13" t="s">
        <v>172</v>
      </c>
      <c r="D180" s="13" t="s">
        <v>58</v>
      </c>
      <c r="E180" s="165"/>
      <c r="F180" s="165">
        <f>1</f>
        <v>1</v>
      </c>
      <c r="G180" s="166">
        <f>E179*F180</f>
        <v>74</v>
      </c>
    </row>
    <row r="181" spans="1:7" ht="15">
      <c r="A181" s="12" t="s">
        <v>0</v>
      </c>
      <c r="B181" s="13" t="s">
        <v>0</v>
      </c>
      <c r="C181" s="13" t="s">
        <v>0</v>
      </c>
      <c r="D181" s="13" t="s">
        <v>0</v>
      </c>
      <c r="E181" s="165"/>
      <c r="F181" s="165"/>
      <c r="G181" s="166"/>
    </row>
    <row r="182" spans="1:7" ht="15">
      <c r="A182" s="12" t="s">
        <v>0</v>
      </c>
      <c r="B182" s="13" t="s">
        <v>0</v>
      </c>
      <c r="C182" s="13" t="s">
        <v>0</v>
      </c>
      <c r="D182" s="13" t="s">
        <v>0</v>
      </c>
      <c r="E182" s="165"/>
      <c r="F182" s="165"/>
      <c r="G182" s="166"/>
    </row>
    <row r="183" spans="1:7" ht="15.75">
      <c r="A183" s="8" t="s">
        <v>0</v>
      </c>
      <c r="B183" s="9" t="s">
        <v>0</v>
      </c>
      <c r="C183" s="9" t="s">
        <v>173</v>
      </c>
      <c r="D183" s="9" t="s">
        <v>0</v>
      </c>
      <c r="E183" s="163"/>
      <c r="F183" s="163"/>
      <c r="G183" s="164"/>
    </row>
    <row r="184" spans="1:7" ht="15">
      <c r="A184" s="12" t="s">
        <v>0</v>
      </c>
      <c r="B184" s="13" t="s">
        <v>0</v>
      </c>
      <c r="C184" s="13" t="s">
        <v>0</v>
      </c>
      <c r="D184" s="13" t="s">
        <v>0</v>
      </c>
      <c r="E184" s="165"/>
      <c r="F184" s="165"/>
      <c r="G184" s="166"/>
    </row>
    <row r="185" spans="1:7" ht="15">
      <c r="A185" s="12" t="s">
        <v>174</v>
      </c>
      <c r="B185" s="13" t="s">
        <v>175</v>
      </c>
      <c r="C185" s="13" t="s">
        <v>176</v>
      </c>
      <c r="D185" s="13" t="s">
        <v>177</v>
      </c>
      <c r="E185" s="165" t="e">
        <f>'Du toan chi tiet'!#REF!</f>
        <v>#REF!</v>
      </c>
      <c r="F185" s="165"/>
      <c r="G185" s="166"/>
    </row>
    <row r="186" spans="1:7" ht="15">
      <c r="A186" s="12" t="s">
        <v>0</v>
      </c>
      <c r="B186" s="13" t="s">
        <v>0</v>
      </c>
      <c r="C186" s="13" t="s">
        <v>178</v>
      </c>
      <c r="D186" s="13" t="s">
        <v>0</v>
      </c>
      <c r="E186" s="165"/>
      <c r="F186" s="165"/>
      <c r="G186" s="166"/>
    </row>
    <row r="187" spans="1:7" ht="15">
      <c r="A187" s="12" t="s">
        <v>0</v>
      </c>
      <c r="B187" s="13" t="s">
        <v>0</v>
      </c>
      <c r="C187" s="13" t="s">
        <v>179</v>
      </c>
      <c r="D187" s="13" t="s">
        <v>10</v>
      </c>
      <c r="E187" s="165"/>
      <c r="F187" s="165">
        <f>0.027</f>
        <v>0.027</v>
      </c>
      <c r="G187" s="166" t="e">
        <f>E185*F187</f>
        <v>#REF!</v>
      </c>
    </row>
    <row r="188" spans="1:7" ht="15">
      <c r="A188" s="12" t="s">
        <v>0</v>
      </c>
      <c r="B188" s="13" t="s">
        <v>0</v>
      </c>
      <c r="C188" s="13" t="s">
        <v>0</v>
      </c>
      <c r="D188" s="13" t="s">
        <v>0</v>
      </c>
      <c r="E188" s="165"/>
      <c r="F188" s="165"/>
      <c r="G188" s="166"/>
    </row>
    <row r="189" spans="1:7" ht="15">
      <c r="A189" s="12" t="s">
        <v>180</v>
      </c>
      <c r="B189" s="13" t="s">
        <v>181</v>
      </c>
      <c r="C189" s="13" t="s">
        <v>176</v>
      </c>
      <c r="D189" s="13" t="s">
        <v>177</v>
      </c>
      <c r="E189" s="165" t="e">
        <f>'Du toan chi tiet'!#REF!</f>
        <v>#REF!</v>
      </c>
      <c r="F189" s="165"/>
      <c r="G189" s="166"/>
    </row>
    <row r="190" spans="1:7" ht="15">
      <c r="A190" s="12" t="s">
        <v>0</v>
      </c>
      <c r="B190" s="13" t="s">
        <v>0</v>
      </c>
      <c r="C190" s="13" t="s">
        <v>182</v>
      </c>
      <c r="D190" s="13" t="s">
        <v>0</v>
      </c>
      <c r="E190" s="165"/>
      <c r="F190" s="165"/>
      <c r="G190" s="166"/>
    </row>
    <row r="191" spans="1:7" ht="15">
      <c r="A191" s="12" t="s">
        <v>0</v>
      </c>
      <c r="B191" s="13" t="s">
        <v>0</v>
      </c>
      <c r="C191" s="13" t="s">
        <v>179</v>
      </c>
      <c r="D191" s="13" t="s">
        <v>10</v>
      </c>
      <c r="E191" s="165"/>
      <c r="F191" s="165">
        <f>0.019</f>
        <v>0.019</v>
      </c>
      <c r="G191" s="166" t="e">
        <f>E189*F191</f>
        <v>#REF!</v>
      </c>
    </row>
    <row r="192" spans="1:7" ht="15">
      <c r="A192" s="12" t="s">
        <v>0</v>
      </c>
      <c r="B192" s="13" t="s">
        <v>0</v>
      </c>
      <c r="C192" s="13" t="s">
        <v>0</v>
      </c>
      <c r="D192" s="13" t="s">
        <v>0</v>
      </c>
      <c r="E192" s="165"/>
      <c r="F192" s="165"/>
      <c r="G192" s="166"/>
    </row>
    <row r="193" spans="1:7" ht="15">
      <c r="A193" s="12" t="s">
        <v>183</v>
      </c>
      <c r="B193" s="13" t="s">
        <v>184</v>
      </c>
      <c r="C193" s="13" t="s">
        <v>176</v>
      </c>
      <c r="D193" s="13" t="s">
        <v>177</v>
      </c>
      <c r="E193" s="165" t="e">
        <f>'Du toan chi tiet'!#REF!</f>
        <v>#REF!</v>
      </c>
      <c r="F193" s="165"/>
      <c r="G193" s="166"/>
    </row>
    <row r="194" spans="1:7" ht="15">
      <c r="A194" s="12" t="s">
        <v>0</v>
      </c>
      <c r="B194" s="13" t="s">
        <v>0</v>
      </c>
      <c r="C194" s="13" t="s">
        <v>185</v>
      </c>
      <c r="D194" s="13" t="s">
        <v>0</v>
      </c>
      <c r="E194" s="165"/>
      <c r="F194" s="165"/>
      <c r="G194" s="166"/>
    </row>
    <row r="195" spans="1:7" ht="15">
      <c r="A195" s="12" t="s">
        <v>0</v>
      </c>
      <c r="B195" s="13" t="s">
        <v>0</v>
      </c>
      <c r="C195" s="13" t="s">
        <v>179</v>
      </c>
      <c r="D195" s="13" t="s">
        <v>10</v>
      </c>
      <c r="E195" s="165"/>
      <c r="F195" s="165">
        <f>0.014</f>
        <v>0.014</v>
      </c>
      <c r="G195" s="166" t="e">
        <f>E193*F195</f>
        <v>#REF!</v>
      </c>
    </row>
    <row r="196" spans="1:7" ht="15">
      <c r="A196" s="12" t="s">
        <v>0</v>
      </c>
      <c r="B196" s="13" t="s">
        <v>0</v>
      </c>
      <c r="C196" s="13" t="s">
        <v>0</v>
      </c>
      <c r="D196" s="13" t="s">
        <v>0</v>
      </c>
      <c r="E196" s="165"/>
      <c r="F196" s="165"/>
      <c r="G196" s="166"/>
    </row>
    <row r="197" spans="1:7" ht="15">
      <c r="A197" s="12" t="s">
        <v>186</v>
      </c>
      <c r="B197" s="13" t="s">
        <v>187</v>
      </c>
      <c r="C197" s="13" t="s">
        <v>188</v>
      </c>
      <c r="D197" s="13" t="s">
        <v>177</v>
      </c>
      <c r="E197" s="165" t="e">
        <f>'Du toan chi tiet'!#REF!</f>
        <v>#REF!</v>
      </c>
      <c r="F197" s="165"/>
      <c r="G197" s="166"/>
    </row>
    <row r="198" spans="1:7" ht="15">
      <c r="A198" s="12" t="s">
        <v>0</v>
      </c>
      <c r="B198" s="13" t="s">
        <v>0</v>
      </c>
      <c r="C198" s="13" t="s">
        <v>178</v>
      </c>
      <c r="D198" s="13" t="s">
        <v>0</v>
      </c>
      <c r="E198" s="165"/>
      <c r="F198" s="165"/>
      <c r="G198" s="166"/>
    </row>
    <row r="199" spans="1:7" ht="15">
      <c r="A199" s="12" t="s">
        <v>0</v>
      </c>
      <c r="B199" s="13" t="s">
        <v>0</v>
      </c>
      <c r="C199" s="13" t="s">
        <v>179</v>
      </c>
      <c r="D199" s="13" t="s">
        <v>10</v>
      </c>
      <c r="E199" s="165"/>
      <c r="F199" s="165">
        <f>0.034</f>
        <v>0.034</v>
      </c>
      <c r="G199" s="166" t="e">
        <f>E197*F199</f>
        <v>#REF!</v>
      </c>
    </row>
    <row r="200" spans="1:7" ht="15">
      <c r="A200" s="12" t="s">
        <v>0</v>
      </c>
      <c r="B200" s="13" t="s">
        <v>0</v>
      </c>
      <c r="C200" s="13" t="s">
        <v>0</v>
      </c>
      <c r="D200" s="13" t="s">
        <v>0</v>
      </c>
      <c r="E200" s="165"/>
      <c r="F200" s="165"/>
      <c r="G200" s="166"/>
    </row>
    <row r="201" spans="1:7" ht="15">
      <c r="A201" s="12" t="s">
        <v>189</v>
      </c>
      <c r="B201" s="13" t="s">
        <v>190</v>
      </c>
      <c r="C201" s="13" t="s">
        <v>188</v>
      </c>
      <c r="D201" s="13" t="s">
        <v>177</v>
      </c>
      <c r="E201" s="165" t="e">
        <f>'Du toan chi tiet'!#REF!</f>
        <v>#REF!</v>
      </c>
      <c r="F201" s="165"/>
      <c r="G201" s="166"/>
    </row>
    <row r="202" spans="1:7" ht="15">
      <c r="A202" s="12" t="s">
        <v>0</v>
      </c>
      <c r="B202" s="13" t="s">
        <v>0</v>
      </c>
      <c r="C202" s="13" t="s">
        <v>182</v>
      </c>
      <c r="D202" s="13" t="s">
        <v>0</v>
      </c>
      <c r="E202" s="165"/>
      <c r="F202" s="165"/>
      <c r="G202" s="166"/>
    </row>
    <row r="203" spans="1:7" ht="15">
      <c r="A203" s="12" t="s">
        <v>0</v>
      </c>
      <c r="B203" s="13" t="s">
        <v>0</v>
      </c>
      <c r="C203" s="13" t="s">
        <v>179</v>
      </c>
      <c r="D203" s="13" t="s">
        <v>10</v>
      </c>
      <c r="E203" s="165"/>
      <c r="F203" s="165">
        <f>0.025</f>
        <v>0.025</v>
      </c>
      <c r="G203" s="166" t="e">
        <f>E201*F203</f>
        <v>#REF!</v>
      </c>
    </row>
    <row r="204" spans="1:7" ht="15">
      <c r="A204" s="12" t="s">
        <v>0</v>
      </c>
      <c r="B204" s="13" t="s">
        <v>0</v>
      </c>
      <c r="C204" s="13" t="s">
        <v>0</v>
      </c>
      <c r="D204" s="13" t="s">
        <v>0</v>
      </c>
      <c r="E204" s="165"/>
      <c r="F204" s="165"/>
      <c r="G204" s="166"/>
    </row>
    <row r="205" spans="1:7" ht="15">
      <c r="A205" s="12" t="s">
        <v>191</v>
      </c>
      <c r="B205" s="13" t="s">
        <v>192</v>
      </c>
      <c r="C205" s="13" t="s">
        <v>188</v>
      </c>
      <c r="D205" s="13" t="s">
        <v>177</v>
      </c>
      <c r="E205" s="165" t="e">
        <f>'Du toan chi tiet'!#REF!</f>
        <v>#REF!</v>
      </c>
      <c r="F205" s="165"/>
      <c r="G205" s="166"/>
    </row>
    <row r="206" spans="1:7" ht="15">
      <c r="A206" s="12" t="s">
        <v>0</v>
      </c>
      <c r="B206" s="13" t="s">
        <v>0</v>
      </c>
      <c r="C206" s="13" t="s">
        <v>185</v>
      </c>
      <c r="D206" s="13" t="s">
        <v>0</v>
      </c>
      <c r="E206" s="165"/>
      <c r="F206" s="165"/>
      <c r="G206" s="166"/>
    </row>
    <row r="207" spans="1:7" ht="15">
      <c r="A207" s="12" t="s">
        <v>0</v>
      </c>
      <c r="B207" s="13" t="s">
        <v>0</v>
      </c>
      <c r="C207" s="13" t="s">
        <v>179</v>
      </c>
      <c r="D207" s="13" t="s">
        <v>10</v>
      </c>
      <c r="E207" s="165"/>
      <c r="F207" s="165">
        <f>0.018</f>
        <v>0.018</v>
      </c>
      <c r="G207" s="166" t="e">
        <f>E205*F207</f>
        <v>#REF!</v>
      </c>
    </row>
    <row r="208" spans="1:7" ht="15">
      <c r="A208" s="12" t="s">
        <v>0</v>
      </c>
      <c r="B208" s="13" t="s">
        <v>0</v>
      </c>
      <c r="C208" s="13" t="s">
        <v>0</v>
      </c>
      <c r="D208" s="13" t="s">
        <v>0</v>
      </c>
      <c r="E208" s="165"/>
      <c r="F208" s="165"/>
      <c r="G208" s="166"/>
    </row>
    <row r="209" spans="1:7" ht="15">
      <c r="A209" s="12" t="s">
        <v>193</v>
      </c>
      <c r="B209" s="13" t="s">
        <v>194</v>
      </c>
      <c r="C209" s="13" t="s">
        <v>195</v>
      </c>
      <c r="D209" s="13" t="s">
        <v>196</v>
      </c>
      <c r="E209" s="165" t="e">
        <f>'Du toan chi tiet'!#REF!</f>
        <v>#REF!</v>
      </c>
      <c r="F209" s="165"/>
      <c r="G209" s="166"/>
    </row>
    <row r="210" spans="1:7" ht="15">
      <c r="A210" s="12" t="s">
        <v>0</v>
      </c>
      <c r="B210" s="13" t="s">
        <v>0</v>
      </c>
      <c r="C210" s="13" t="s">
        <v>178</v>
      </c>
      <c r="D210" s="13" t="s">
        <v>0</v>
      </c>
      <c r="E210" s="165"/>
      <c r="F210" s="165"/>
      <c r="G210" s="166"/>
    </row>
    <row r="211" spans="1:7" ht="15">
      <c r="A211" s="12" t="s">
        <v>0</v>
      </c>
      <c r="B211" s="13" t="s">
        <v>0</v>
      </c>
      <c r="C211" s="13" t="s">
        <v>197</v>
      </c>
      <c r="D211" s="13" t="s">
        <v>10</v>
      </c>
      <c r="E211" s="165"/>
      <c r="F211" s="165">
        <f>0.022</f>
        <v>0.022</v>
      </c>
      <c r="G211" s="166" t="e">
        <f>E209*F211</f>
        <v>#REF!</v>
      </c>
    </row>
    <row r="212" spans="1:7" ht="15">
      <c r="A212" s="12" t="s">
        <v>0</v>
      </c>
      <c r="B212" s="13" t="s">
        <v>0</v>
      </c>
      <c r="C212" s="13" t="s">
        <v>0</v>
      </c>
      <c r="D212" s="13" t="s">
        <v>0</v>
      </c>
      <c r="E212" s="165"/>
      <c r="F212" s="165"/>
      <c r="G212" s="166"/>
    </row>
    <row r="213" spans="1:7" ht="15">
      <c r="A213" s="12" t="s">
        <v>198</v>
      </c>
      <c r="B213" s="13" t="s">
        <v>199</v>
      </c>
      <c r="C213" s="13" t="s">
        <v>195</v>
      </c>
      <c r="D213" s="13" t="s">
        <v>196</v>
      </c>
      <c r="E213" s="165" t="e">
        <f>'Du toan chi tiet'!#REF!</f>
        <v>#REF!</v>
      </c>
      <c r="F213" s="165"/>
      <c r="G213" s="166"/>
    </row>
    <row r="214" spans="1:7" ht="15">
      <c r="A214" s="12" t="s">
        <v>0</v>
      </c>
      <c r="B214" s="13" t="s">
        <v>0</v>
      </c>
      <c r="C214" s="13" t="s">
        <v>182</v>
      </c>
      <c r="D214" s="13" t="s">
        <v>0</v>
      </c>
      <c r="E214" s="165"/>
      <c r="F214" s="165"/>
      <c r="G214" s="166"/>
    </row>
    <row r="215" spans="1:7" ht="15">
      <c r="A215" s="12" t="s">
        <v>0</v>
      </c>
      <c r="B215" s="13" t="s">
        <v>0</v>
      </c>
      <c r="C215" s="13" t="s">
        <v>197</v>
      </c>
      <c r="D215" s="13" t="s">
        <v>10</v>
      </c>
      <c r="E215" s="165"/>
      <c r="F215" s="165">
        <f>0.016</f>
        <v>0.016</v>
      </c>
      <c r="G215" s="166" t="e">
        <f>E213*F215</f>
        <v>#REF!</v>
      </c>
    </row>
    <row r="216" spans="1:7" ht="15">
      <c r="A216" s="12" t="s">
        <v>0</v>
      </c>
      <c r="B216" s="13" t="s">
        <v>0</v>
      </c>
      <c r="C216" s="13" t="s">
        <v>0</v>
      </c>
      <c r="D216" s="13" t="s">
        <v>0</v>
      </c>
      <c r="E216" s="165"/>
      <c r="F216" s="165"/>
      <c r="G216" s="166"/>
    </row>
    <row r="217" spans="1:7" ht="15">
      <c r="A217" s="12" t="s">
        <v>200</v>
      </c>
      <c r="B217" s="13" t="s">
        <v>201</v>
      </c>
      <c r="C217" s="13" t="s">
        <v>195</v>
      </c>
      <c r="D217" s="13" t="s">
        <v>196</v>
      </c>
      <c r="E217" s="165" t="e">
        <f>'Du toan chi tiet'!#REF!</f>
        <v>#REF!</v>
      </c>
      <c r="F217" s="165"/>
      <c r="G217" s="166"/>
    </row>
    <row r="218" spans="1:7" ht="15">
      <c r="A218" s="12" t="s">
        <v>0</v>
      </c>
      <c r="B218" s="13" t="s">
        <v>0</v>
      </c>
      <c r="C218" s="13" t="s">
        <v>185</v>
      </c>
      <c r="D218" s="13" t="s">
        <v>0</v>
      </c>
      <c r="E218" s="165"/>
      <c r="F218" s="165"/>
      <c r="G218" s="166"/>
    </row>
    <row r="219" spans="1:7" ht="15">
      <c r="A219" s="12" t="s">
        <v>0</v>
      </c>
      <c r="B219" s="13" t="s">
        <v>0</v>
      </c>
      <c r="C219" s="13" t="s">
        <v>197</v>
      </c>
      <c r="D219" s="13" t="s">
        <v>10</v>
      </c>
      <c r="E219" s="165"/>
      <c r="F219" s="165">
        <f>0.011</f>
        <v>0.011</v>
      </c>
      <c r="G219" s="166" t="e">
        <f>E217*F219</f>
        <v>#REF!</v>
      </c>
    </row>
    <row r="220" spans="1:7" ht="15">
      <c r="A220" s="12" t="s">
        <v>0</v>
      </c>
      <c r="B220" s="13" t="s">
        <v>0</v>
      </c>
      <c r="C220" s="13" t="s">
        <v>0</v>
      </c>
      <c r="D220" s="13" t="s">
        <v>0</v>
      </c>
      <c r="E220" s="165"/>
      <c r="F220" s="165"/>
      <c r="G220" s="166"/>
    </row>
    <row r="221" spans="1:7" ht="15">
      <c r="A221" s="12" t="s">
        <v>202</v>
      </c>
      <c r="B221" s="13" t="s">
        <v>203</v>
      </c>
      <c r="C221" s="13" t="s">
        <v>204</v>
      </c>
      <c r="D221" s="13" t="s">
        <v>196</v>
      </c>
      <c r="E221" s="165" t="e">
        <f>'Du toan chi tiet'!#REF!</f>
        <v>#REF!</v>
      </c>
      <c r="F221" s="165"/>
      <c r="G221" s="166"/>
    </row>
    <row r="222" spans="1:7" ht="15">
      <c r="A222" s="12" t="s">
        <v>0</v>
      </c>
      <c r="B222" s="13" t="s">
        <v>0</v>
      </c>
      <c r="C222" s="13" t="s">
        <v>178</v>
      </c>
      <c r="D222" s="13" t="s">
        <v>0</v>
      </c>
      <c r="E222" s="165"/>
      <c r="F222" s="165"/>
      <c r="G222" s="166"/>
    </row>
    <row r="223" spans="1:7" ht="15">
      <c r="A223" s="12" t="s">
        <v>0</v>
      </c>
      <c r="B223" s="13" t="s">
        <v>0</v>
      </c>
      <c r="C223" s="13" t="s">
        <v>197</v>
      </c>
      <c r="D223" s="13" t="s">
        <v>10</v>
      </c>
      <c r="E223" s="165"/>
      <c r="F223" s="165">
        <f>0.024</f>
        <v>0.024</v>
      </c>
      <c r="G223" s="166" t="e">
        <f>E221*F223</f>
        <v>#REF!</v>
      </c>
    </row>
    <row r="224" spans="1:7" ht="15">
      <c r="A224" s="12" t="s">
        <v>0</v>
      </c>
      <c r="B224" s="13" t="s">
        <v>0</v>
      </c>
      <c r="C224" s="13" t="s">
        <v>0</v>
      </c>
      <c r="D224" s="13" t="s">
        <v>0</v>
      </c>
      <c r="E224" s="165"/>
      <c r="F224" s="165"/>
      <c r="G224" s="166"/>
    </row>
    <row r="225" spans="1:7" ht="15">
      <c r="A225" s="12" t="s">
        <v>205</v>
      </c>
      <c r="B225" s="13" t="s">
        <v>206</v>
      </c>
      <c r="C225" s="13" t="s">
        <v>204</v>
      </c>
      <c r="D225" s="13" t="s">
        <v>196</v>
      </c>
      <c r="E225" s="165" t="e">
        <f>'Du toan chi tiet'!#REF!</f>
        <v>#REF!</v>
      </c>
      <c r="F225" s="165"/>
      <c r="G225" s="166"/>
    </row>
    <row r="226" spans="1:7" ht="15">
      <c r="A226" s="12" t="s">
        <v>0</v>
      </c>
      <c r="B226" s="13" t="s">
        <v>0</v>
      </c>
      <c r="C226" s="13" t="s">
        <v>182</v>
      </c>
      <c r="D226" s="13" t="s">
        <v>0</v>
      </c>
      <c r="E226" s="165"/>
      <c r="F226" s="165"/>
      <c r="G226" s="166"/>
    </row>
    <row r="227" spans="1:7" ht="15">
      <c r="A227" s="12" t="s">
        <v>0</v>
      </c>
      <c r="B227" s="13" t="s">
        <v>0</v>
      </c>
      <c r="C227" s="13" t="s">
        <v>197</v>
      </c>
      <c r="D227" s="13" t="s">
        <v>10</v>
      </c>
      <c r="E227" s="165"/>
      <c r="F227" s="165">
        <f>0.018</f>
        <v>0.018</v>
      </c>
      <c r="G227" s="166" t="e">
        <f>E225*F227</f>
        <v>#REF!</v>
      </c>
    </row>
    <row r="228" spans="1:7" ht="15">
      <c r="A228" s="12" t="s">
        <v>0</v>
      </c>
      <c r="B228" s="13" t="s">
        <v>0</v>
      </c>
      <c r="C228" s="13" t="s">
        <v>0</v>
      </c>
      <c r="D228" s="13" t="s">
        <v>0</v>
      </c>
      <c r="E228" s="165"/>
      <c r="F228" s="165"/>
      <c r="G228" s="166"/>
    </row>
    <row r="229" spans="1:7" ht="15">
      <c r="A229" s="12" t="s">
        <v>207</v>
      </c>
      <c r="B229" s="13" t="s">
        <v>208</v>
      </c>
      <c r="C229" s="13" t="s">
        <v>204</v>
      </c>
      <c r="D229" s="13" t="s">
        <v>196</v>
      </c>
      <c r="E229" s="165" t="e">
        <f>'Du toan chi tiet'!#REF!</f>
        <v>#REF!</v>
      </c>
      <c r="F229" s="165"/>
      <c r="G229" s="166"/>
    </row>
    <row r="230" spans="1:7" ht="15">
      <c r="A230" s="12" t="s">
        <v>0</v>
      </c>
      <c r="B230" s="13" t="s">
        <v>0</v>
      </c>
      <c r="C230" s="13" t="s">
        <v>185</v>
      </c>
      <c r="D230" s="13" t="s">
        <v>0</v>
      </c>
      <c r="E230" s="165"/>
      <c r="F230" s="165"/>
      <c r="G230" s="166"/>
    </row>
    <row r="231" spans="1:7" ht="15">
      <c r="A231" s="12" t="s">
        <v>0</v>
      </c>
      <c r="B231" s="13" t="s">
        <v>0</v>
      </c>
      <c r="C231" s="13" t="s">
        <v>197</v>
      </c>
      <c r="D231" s="13" t="s">
        <v>10</v>
      </c>
      <c r="E231" s="165"/>
      <c r="F231" s="165">
        <f>0.011</f>
        <v>0.011</v>
      </c>
      <c r="G231" s="166" t="e">
        <f>E229*F231</f>
        <v>#REF!</v>
      </c>
    </row>
    <row r="232" spans="1:7" ht="15">
      <c r="A232" s="12" t="s">
        <v>0</v>
      </c>
      <c r="B232" s="13" t="s">
        <v>0</v>
      </c>
      <c r="C232" s="13" t="s">
        <v>0</v>
      </c>
      <c r="D232" s="13" t="s">
        <v>0</v>
      </c>
      <c r="E232" s="165"/>
      <c r="F232" s="165"/>
      <c r="G232" s="166"/>
    </row>
    <row r="233" spans="1:7" ht="15">
      <c r="A233" s="12" t="s">
        <v>209</v>
      </c>
      <c r="B233" s="13" t="s">
        <v>210</v>
      </c>
      <c r="C233" s="13" t="s">
        <v>211</v>
      </c>
      <c r="D233" s="13" t="s">
        <v>212</v>
      </c>
      <c r="E233" s="165" t="e">
        <f>'Du toan chi tiet'!#REF!</f>
        <v>#REF!</v>
      </c>
      <c r="F233" s="165"/>
      <c r="G233" s="166"/>
    </row>
    <row r="234" spans="1:7" ht="15">
      <c r="A234" s="12" t="s">
        <v>0</v>
      </c>
      <c r="B234" s="13" t="s">
        <v>0</v>
      </c>
      <c r="C234" s="13" t="s">
        <v>213</v>
      </c>
      <c r="D234" s="13" t="s">
        <v>0</v>
      </c>
      <c r="E234" s="165"/>
      <c r="F234" s="165"/>
      <c r="G234" s="166"/>
    </row>
    <row r="235" spans="1:7" ht="15">
      <c r="A235" s="12" t="s">
        <v>0</v>
      </c>
      <c r="B235" s="13" t="s">
        <v>0</v>
      </c>
      <c r="C235" s="13" t="s">
        <v>7</v>
      </c>
      <c r="D235" s="13" t="s">
        <v>8</v>
      </c>
      <c r="E235" s="165"/>
      <c r="F235" s="165">
        <f>0.11</f>
        <v>0.11</v>
      </c>
      <c r="G235" s="166" t="e">
        <f>E233*F235</f>
        <v>#REF!</v>
      </c>
    </row>
    <row r="236" spans="1:7" ht="15">
      <c r="A236" s="12" t="s">
        <v>0</v>
      </c>
      <c r="B236" s="13" t="s">
        <v>0</v>
      </c>
      <c r="C236" s="13" t="s">
        <v>0</v>
      </c>
      <c r="D236" s="13" t="s">
        <v>0</v>
      </c>
      <c r="E236" s="165"/>
      <c r="F236" s="165"/>
      <c r="G236" s="166"/>
    </row>
    <row r="237" spans="1:7" ht="15">
      <c r="A237" s="12" t="s">
        <v>214</v>
      </c>
      <c r="B237" s="13" t="s">
        <v>215</v>
      </c>
      <c r="C237" s="13" t="s">
        <v>211</v>
      </c>
      <c r="D237" s="13" t="s">
        <v>21</v>
      </c>
      <c r="E237" s="165" t="e">
        <f>'Du toan chi tiet'!#REF!</f>
        <v>#REF!</v>
      </c>
      <c r="F237" s="165"/>
      <c r="G237" s="166"/>
    </row>
    <row r="238" spans="1:7" ht="15">
      <c r="A238" s="12" t="s">
        <v>0</v>
      </c>
      <c r="B238" s="13" t="s">
        <v>0</v>
      </c>
      <c r="C238" s="13" t="s">
        <v>216</v>
      </c>
      <c r="D238" s="13" t="s">
        <v>0</v>
      </c>
      <c r="E238" s="165"/>
      <c r="F238" s="165"/>
      <c r="G238" s="166"/>
    </row>
    <row r="239" spans="1:7" ht="15">
      <c r="A239" s="12" t="s">
        <v>0</v>
      </c>
      <c r="B239" s="13" t="s">
        <v>0</v>
      </c>
      <c r="C239" s="13" t="s">
        <v>7</v>
      </c>
      <c r="D239" s="13" t="s">
        <v>8</v>
      </c>
      <c r="E239" s="165"/>
      <c r="F239" s="165">
        <f>0.09</f>
        <v>0.09</v>
      </c>
      <c r="G239" s="166" t="e">
        <f>E237*F239</f>
        <v>#REF!</v>
      </c>
    </row>
    <row r="240" spans="1:7" ht="15">
      <c r="A240" s="12" t="s">
        <v>0</v>
      </c>
      <c r="B240" s="13" t="s">
        <v>0</v>
      </c>
      <c r="C240" s="13" t="s">
        <v>0</v>
      </c>
      <c r="D240" s="13" t="s">
        <v>0</v>
      </c>
      <c r="E240" s="165"/>
      <c r="F240" s="165"/>
      <c r="G240" s="166"/>
    </row>
    <row r="241" spans="1:7" ht="15">
      <c r="A241" s="12" t="s">
        <v>217</v>
      </c>
      <c r="B241" s="13" t="s">
        <v>218</v>
      </c>
      <c r="C241" s="13" t="s">
        <v>211</v>
      </c>
      <c r="D241" s="13" t="s">
        <v>212</v>
      </c>
      <c r="E241" s="165" t="e">
        <f>'Du toan chi tiet'!#REF!</f>
        <v>#REF!</v>
      </c>
      <c r="F241" s="165"/>
      <c r="G241" s="166"/>
    </row>
    <row r="242" spans="1:7" ht="15">
      <c r="A242" s="12" t="s">
        <v>0</v>
      </c>
      <c r="B242" s="13" t="s">
        <v>0</v>
      </c>
      <c r="C242" s="13" t="s">
        <v>219</v>
      </c>
      <c r="D242" s="13" t="s">
        <v>0</v>
      </c>
      <c r="E242" s="165"/>
      <c r="F242" s="165"/>
      <c r="G242" s="166"/>
    </row>
    <row r="243" spans="1:7" ht="15">
      <c r="A243" s="12" t="s">
        <v>0</v>
      </c>
      <c r="B243" s="13" t="s">
        <v>0</v>
      </c>
      <c r="C243" s="13" t="s">
        <v>7</v>
      </c>
      <c r="D243" s="13" t="s">
        <v>8</v>
      </c>
      <c r="E243" s="165"/>
      <c r="F243" s="165">
        <f>0.21</f>
        <v>0.21</v>
      </c>
      <c r="G243" s="166" t="e">
        <f>E241*F243</f>
        <v>#REF!</v>
      </c>
    </row>
    <row r="244" spans="1:7" ht="15">
      <c r="A244" s="12" t="s">
        <v>0</v>
      </c>
      <c r="B244" s="13" t="s">
        <v>0</v>
      </c>
      <c r="C244" s="13" t="s">
        <v>0</v>
      </c>
      <c r="D244" s="13" t="s">
        <v>0</v>
      </c>
      <c r="E244" s="165"/>
      <c r="F244" s="165"/>
      <c r="G244" s="166"/>
    </row>
    <row r="245" spans="1:7" ht="15">
      <c r="A245" s="12" t="s">
        <v>0</v>
      </c>
      <c r="B245" s="13" t="s">
        <v>0</v>
      </c>
      <c r="C245" s="13" t="s">
        <v>0</v>
      </c>
      <c r="D245" s="13" t="s">
        <v>0</v>
      </c>
      <c r="E245" s="165"/>
      <c r="F245" s="165"/>
      <c r="G245" s="166"/>
    </row>
    <row r="246" spans="1:7" ht="15">
      <c r="A246" s="12" t="s">
        <v>0</v>
      </c>
      <c r="B246" s="13" t="s">
        <v>0</v>
      </c>
      <c r="C246" s="13" t="s">
        <v>0</v>
      </c>
      <c r="D246" s="13" t="s">
        <v>0</v>
      </c>
      <c r="E246" s="165"/>
      <c r="F246" s="165"/>
      <c r="G246" s="166"/>
    </row>
    <row r="247" spans="1:7" ht="15">
      <c r="A247" s="12" t="s">
        <v>0</v>
      </c>
      <c r="B247" s="13" t="s">
        <v>0</v>
      </c>
      <c r="C247" s="13" t="s">
        <v>0</v>
      </c>
      <c r="D247" s="13" t="s">
        <v>0</v>
      </c>
      <c r="E247" s="165"/>
      <c r="F247" s="165"/>
      <c r="G247" s="166"/>
    </row>
    <row r="248" spans="1:7" ht="15">
      <c r="A248" s="12" t="s">
        <v>0</v>
      </c>
      <c r="B248" s="13" t="s">
        <v>0</v>
      </c>
      <c r="C248" s="13" t="s">
        <v>0</v>
      </c>
      <c r="D248" s="13" t="s">
        <v>0</v>
      </c>
      <c r="E248" s="165"/>
      <c r="F248" s="165"/>
      <c r="G248" s="166"/>
    </row>
    <row r="249" spans="1:7" ht="15">
      <c r="A249" s="12" t="s">
        <v>0</v>
      </c>
      <c r="B249" s="13" t="s">
        <v>0</v>
      </c>
      <c r="C249" s="13" t="s">
        <v>0</v>
      </c>
      <c r="D249" s="13" t="s">
        <v>0</v>
      </c>
      <c r="E249" s="165"/>
      <c r="F249" s="165"/>
      <c r="G249" s="166"/>
    </row>
    <row r="250" spans="1:7" ht="15">
      <c r="A250" s="12" t="s">
        <v>0</v>
      </c>
      <c r="B250" s="13" t="s">
        <v>0</v>
      </c>
      <c r="C250" s="13" t="s">
        <v>0</v>
      </c>
      <c r="D250" s="13" t="s">
        <v>0</v>
      </c>
      <c r="E250" s="165"/>
      <c r="F250" s="165"/>
      <c r="G250" s="166"/>
    </row>
    <row r="251" spans="1:7" ht="15">
      <c r="A251" s="12" t="s">
        <v>0</v>
      </c>
      <c r="B251" s="13" t="s">
        <v>0</v>
      </c>
      <c r="C251" s="13" t="s">
        <v>0</v>
      </c>
      <c r="D251" s="13" t="s">
        <v>0</v>
      </c>
      <c r="E251" s="165"/>
      <c r="F251" s="165"/>
      <c r="G251" s="166"/>
    </row>
    <row r="252" spans="1:7" ht="15">
      <c r="A252" s="12" t="s">
        <v>0</v>
      </c>
      <c r="B252" s="13" t="s">
        <v>0</v>
      </c>
      <c r="C252" s="13" t="s">
        <v>0</v>
      </c>
      <c r="D252" s="13" t="s">
        <v>0</v>
      </c>
      <c r="E252" s="165"/>
      <c r="F252" s="165"/>
      <c r="G252" s="166"/>
    </row>
    <row r="253" spans="1:7" ht="15">
      <c r="A253" s="12" t="s">
        <v>0</v>
      </c>
      <c r="B253" s="13" t="s">
        <v>0</v>
      </c>
      <c r="C253" s="13" t="s">
        <v>0</v>
      </c>
      <c r="D253" s="13" t="s">
        <v>0</v>
      </c>
      <c r="E253" s="165"/>
      <c r="F253" s="165"/>
      <c r="G253" s="166"/>
    </row>
    <row r="254" spans="1:7" ht="15.75" thickBot="1">
      <c r="A254" s="16" t="s">
        <v>0</v>
      </c>
      <c r="B254" s="17" t="s">
        <v>0</v>
      </c>
      <c r="C254" s="17" t="s">
        <v>0</v>
      </c>
      <c r="D254" s="17" t="s">
        <v>0</v>
      </c>
      <c r="E254" s="167"/>
      <c r="F254" s="167"/>
      <c r="G254" s="168"/>
    </row>
  </sheetData>
  <sheetProtection/>
  <mergeCells count="4">
    <mergeCell ref="A1:G1"/>
    <mergeCell ref="A3:G3"/>
    <mergeCell ref="A4:G4"/>
    <mergeCell ref="A5:G5"/>
  </mergeCells>
  <printOptions horizontalCentered="1"/>
  <pageMargins left="0.75" right="0.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showZeros="0" tabSelected="1" zoomScalePageLayoutView="0" workbookViewId="0" topLeftCell="A1">
      <selection activeCell="A9" sqref="A9:G9"/>
    </sheetView>
  </sheetViews>
  <sheetFormatPr defaultColWidth="8.796875" defaultRowHeight="15"/>
  <cols>
    <col min="1" max="1" width="4.59765625" style="24" customWidth="1"/>
    <col min="2" max="2" width="35.59765625" style="6" customWidth="1"/>
    <col min="3" max="3" width="6.59765625" style="24" customWidth="1"/>
    <col min="4" max="4" width="20.59765625" style="6" customWidth="1"/>
    <col min="5" max="5" width="15.59765625" style="7" hidden="1" customWidth="1"/>
    <col min="6" max="6" width="5.59765625" style="24" hidden="1" customWidth="1"/>
    <col min="7" max="7" width="15.59765625" style="7" customWidth="1"/>
    <col min="8" max="8" width="9" style="6" customWidth="1"/>
    <col min="9" max="10" width="12.8984375" style="6" bestFit="1" customWidth="1"/>
    <col min="11" max="11" width="11" style="6" bestFit="1" customWidth="1"/>
    <col min="12" max="12" width="12.19921875" style="6" bestFit="1" customWidth="1"/>
    <col min="13" max="13" width="12.3984375" style="6" bestFit="1" customWidth="1"/>
    <col min="14" max="16384" width="9" style="6" customWidth="1"/>
  </cols>
  <sheetData>
    <row r="1" spans="1:7" ht="15.75">
      <c r="A1" s="247" t="s">
        <v>474</v>
      </c>
      <c r="B1" s="247"/>
      <c r="C1" s="247"/>
      <c r="D1" s="247"/>
      <c r="E1" s="247"/>
      <c r="F1" s="247"/>
      <c r="G1" s="247"/>
    </row>
    <row r="2" spans="1:7" ht="15.75">
      <c r="A2" s="247" t="s">
        <v>475</v>
      </c>
      <c r="B2" s="247"/>
      <c r="C2" s="247"/>
      <c r="D2" s="247"/>
      <c r="E2" s="247"/>
      <c r="F2" s="247"/>
      <c r="G2" s="247"/>
    </row>
    <row r="3" spans="1:7" ht="15.75">
      <c r="A3" s="248" t="s">
        <v>476</v>
      </c>
      <c r="B3" s="248"/>
      <c r="C3" s="248"/>
      <c r="D3" s="248"/>
      <c r="E3" s="248"/>
      <c r="F3" s="248"/>
      <c r="G3" s="248"/>
    </row>
    <row r="4" spans="1:7" ht="7.5" customHeight="1">
      <c r="A4" s="33"/>
      <c r="B4" s="2"/>
      <c r="C4" s="33"/>
      <c r="D4" s="2"/>
      <c r="E4" s="4"/>
      <c r="F4" s="33"/>
      <c r="G4" s="4"/>
    </row>
    <row r="5" spans="1:7" ht="16.5">
      <c r="A5" s="249" t="s">
        <v>609</v>
      </c>
      <c r="B5" s="249"/>
      <c r="C5" s="249"/>
      <c r="D5" s="249"/>
      <c r="E5" s="249"/>
      <c r="F5" s="249"/>
      <c r="G5" s="249"/>
    </row>
    <row r="6" spans="1:7" ht="6.75" customHeight="1">
      <c r="A6" s="33"/>
      <c r="B6" s="2"/>
      <c r="C6" s="33"/>
      <c r="D6" s="2"/>
      <c r="E6" s="4"/>
      <c r="F6" s="33"/>
      <c r="G6" s="4"/>
    </row>
    <row r="7" spans="1:7" s="39" customFormat="1" ht="16.5">
      <c r="A7" s="250" t="s">
        <v>477</v>
      </c>
      <c r="B7" s="250"/>
      <c r="C7" s="250"/>
      <c r="D7" s="250"/>
      <c r="E7" s="250"/>
      <c r="F7" s="250"/>
      <c r="G7" s="250"/>
    </row>
    <row r="8" spans="1:7" s="39" customFormat="1" ht="16.5">
      <c r="A8" s="250" t="s">
        <v>478</v>
      </c>
      <c r="B8" s="250"/>
      <c r="C8" s="250"/>
      <c r="D8" s="250"/>
      <c r="E8" s="250"/>
      <c r="F8" s="250"/>
      <c r="G8" s="250"/>
    </row>
    <row r="9" spans="1:7" s="39" customFormat="1" ht="16.5">
      <c r="A9" s="245" t="s">
        <v>622</v>
      </c>
      <c r="B9" s="245"/>
      <c r="C9" s="245"/>
      <c r="D9" s="245"/>
      <c r="E9" s="245"/>
      <c r="F9" s="245"/>
      <c r="G9" s="245"/>
    </row>
    <row r="10" spans="1:7" ht="17.25" thickBot="1">
      <c r="A10" s="33"/>
      <c r="B10" s="2"/>
      <c r="C10" s="33"/>
      <c r="D10" s="2"/>
      <c r="E10" s="4"/>
      <c r="F10" s="33"/>
      <c r="G10" s="238" t="s">
        <v>610</v>
      </c>
    </row>
    <row r="11" spans="1:7" ht="36" customHeight="1">
      <c r="A11" s="34" t="s">
        <v>275</v>
      </c>
      <c r="B11" s="35" t="s">
        <v>479</v>
      </c>
      <c r="C11" s="36" t="s">
        <v>480</v>
      </c>
      <c r="D11" s="35" t="s">
        <v>481</v>
      </c>
      <c r="E11" s="37" t="s">
        <v>482</v>
      </c>
      <c r="F11" s="36" t="s">
        <v>483</v>
      </c>
      <c r="G11" s="38" t="s">
        <v>484</v>
      </c>
    </row>
    <row r="12" spans="1:7" ht="15.75">
      <c r="A12" s="25" t="s">
        <v>260</v>
      </c>
      <c r="B12" s="21" t="s">
        <v>259</v>
      </c>
      <c r="C12" s="29" t="s">
        <v>258</v>
      </c>
      <c r="D12" s="29" t="s">
        <v>611</v>
      </c>
      <c r="E12" s="22">
        <f>SUM(E13:E13)</f>
        <v>1677755000</v>
      </c>
      <c r="F12" s="29"/>
      <c r="G12" s="23">
        <f aca="true" t="shared" si="0" ref="G12:G33">E12*(1+F12/100)</f>
        <v>1677755000</v>
      </c>
    </row>
    <row r="13" spans="1:7" ht="15">
      <c r="A13" s="26" t="s">
        <v>0</v>
      </c>
      <c r="B13" s="13" t="s">
        <v>257</v>
      </c>
      <c r="C13" s="30" t="s">
        <v>256</v>
      </c>
      <c r="D13" s="30" t="s">
        <v>255</v>
      </c>
      <c r="E13" s="14">
        <f>ROUND('CP Xay lap'!E20,-3)</f>
        <v>1677755000</v>
      </c>
      <c r="F13" s="30"/>
      <c r="G13" s="15">
        <f t="shared" si="0"/>
        <v>1677755000</v>
      </c>
    </row>
    <row r="14" spans="1:13" ht="15.75">
      <c r="A14" s="27" t="s">
        <v>254</v>
      </c>
      <c r="B14" s="9" t="s">
        <v>253</v>
      </c>
      <c r="C14" s="31" t="s">
        <v>252</v>
      </c>
      <c r="D14" s="31" t="s">
        <v>564</v>
      </c>
      <c r="E14" s="10">
        <f>ROUND(E12*2.901%/1.08,-3)</f>
        <v>45066000</v>
      </c>
      <c r="F14" s="31"/>
      <c r="G14" s="11">
        <f t="shared" si="0"/>
        <v>45066000</v>
      </c>
      <c r="I14" s="263"/>
      <c r="J14" s="263"/>
      <c r="K14" s="263">
        <f aca="true" t="shared" si="1" ref="K14:K19">J14-I14</f>
        <v>0</v>
      </c>
      <c r="M14" s="7"/>
    </row>
    <row r="15" spans="1:13" ht="15.75">
      <c r="A15" s="27" t="s">
        <v>251</v>
      </c>
      <c r="B15" s="9" t="s">
        <v>250</v>
      </c>
      <c r="C15" s="31" t="s">
        <v>249</v>
      </c>
      <c r="D15" s="31" t="s">
        <v>617</v>
      </c>
      <c r="E15" s="10">
        <f>SUM(E16:E21)</f>
        <v>162482000</v>
      </c>
      <c r="F15" s="31"/>
      <c r="G15" s="11">
        <f t="shared" si="0"/>
        <v>162482000</v>
      </c>
      <c r="I15" s="263"/>
      <c r="J15" s="263"/>
      <c r="K15" s="263">
        <f t="shared" si="1"/>
        <v>0</v>
      </c>
      <c r="M15" s="7"/>
    </row>
    <row r="16" spans="1:13" ht="15">
      <c r="A16" s="26" t="s">
        <v>0</v>
      </c>
      <c r="B16" s="13" t="s">
        <v>248</v>
      </c>
      <c r="C16" s="30" t="s">
        <v>247</v>
      </c>
      <c r="D16" s="30" t="s">
        <v>571</v>
      </c>
      <c r="E16" s="199">
        <v>15716000</v>
      </c>
      <c r="F16" s="30"/>
      <c r="G16" s="15">
        <f t="shared" si="0"/>
        <v>15716000</v>
      </c>
      <c r="I16" s="263"/>
      <c r="J16" s="263"/>
      <c r="K16" s="263">
        <f t="shared" si="1"/>
        <v>0</v>
      </c>
      <c r="M16" s="7"/>
    </row>
    <row r="17" spans="1:13" ht="15">
      <c r="A17" s="26" t="s">
        <v>0</v>
      </c>
      <c r="B17" s="13" t="s">
        <v>246</v>
      </c>
      <c r="C17" s="30" t="s">
        <v>245</v>
      </c>
      <c r="D17" s="30" t="s">
        <v>568</v>
      </c>
      <c r="E17" s="14">
        <f>ROUND(E12*5.357/100,-3)</f>
        <v>89877000</v>
      </c>
      <c r="F17" s="30"/>
      <c r="G17" s="15">
        <f t="shared" si="0"/>
        <v>89877000</v>
      </c>
      <c r="I17" s="263"/>
      <c r="J17" s="263"/>
      <c r="K17" s="263">
        <f t="shared" si="1"/>
        <v>0</v>
      </c>
      <c r="M17" s="7"/>
    </row>
    <row r="18" spans="1:13" ht="15">
      <c r="A18" s="26" t="s">
        <v>0</v>
      </c>
      <c r="B18" s="13" t="s">
        <v>244</v>
      </c>
      <c r="C18" s="30" t="s">
        <v>243</v>
      </c>
      <c r="D18" s="30" t="s">
        <v>572</v>
      </c>
      <c r="E18" s="14">
        <f>ROUND(E12*0.197%*1.2,-3)</f>
        <v>3966000</v>
      </c>
      <c r="F18" s="30"/>
      <c r="G18" s="15">
        <f t="shared" si="0"/>
        <v>3966000</v>
      </c>
      <c r="I18" s="263"/>
      <c r="J18" s="263"/>
      <c r="K18" s="263">
        <f t="shared" si="1"/>
        <v>0</v>
      </c>
      <c r="M18" s="7"/>
    </row>
    <row r="19" spans="1:13" ht="15.75">
      <c r="A19" s="26" t="s">
        <v>0</v>
      </c>
      <c r="B19" s="13" t="s">
        <v>242</v>
      </c>
      <c r="C19" s="30" t="s">
        <v>241</v>
      </c>
      <c r="D19" s="30" t="s">
        <v>573</v>
      </c>
      <c r="E19" s="14">
        <f>ROUND(E12*0.191%*1.2,-3)</f>
        <v>3845000</v>
      </c>
      <c r="F19" s="30"/>
      <c r="G19" s="15">
        <f t="shared" si="0"/>
        <v>3845000</v>
      </c>
      <c r="I19" s="264"/>
      <c r="J19" s="264"/>
      <c r="K19" s="264">
        <f t="shared" si="1"/>
        <v>0</v>
      </c>
      <c r="M19" s="7"/>
    </row>
    <row r="20" spans="1:13" ht="15">
      <c r="A20" s="26" t="s">
        <v>0</v>
      </c>
      <c r="B20" s="13" t="s">
        <v>556</v>
      </c>
      <c r="C20" s="30" t="s">
        <v>239</v>
      </c>
      <c r="D20" s="30" t="s">
        <v>569</v>
      </c>
      <c r="E20" s="14">
        <f>ROUND(E12/1.08*0.388%,-3)</f>
        <v>6027000</v>
      </c>
      <c r="F20" s="30"/>
      <c r="G20" s="15">
        <f t="shared" si="0"/>
        <v>6027000</v>
      </c>
      <c r="M20" s="7"/>
    </row>
    <row r="21" spans="1:13" ht="15">
      <c r="A21" s="26" t="s">
        <v>0</v>
      </c>
      <c r="B21" s="13" t="s">
        <v>240</v>
      </c>
      <c r="C21" s="30" t="s">
        <v>616</v>
      </c>
      <c r="D21" s="30" t="s">
        <v>238</v>
      </c>
      <c r="E21" s="14">
        <f>ROUND(E12*2.566/100,-3)</f>
        <v>43051000</v>
      </c>
      <c r="F21" s="30"/>
      <c r="G21" s="15">
        <f t="shared" si="0"/>
        <v>43051000</v>
      </c>
      <c r="M21" s="7"/>
    </row>
    <row r="22" spans="1:13" ht="15.75">
      <c r="A22" s="27" t="s">
        <v>237</v>
      </c>
      <c r="B22" s="9" t="s">
        <v>236</v>
      </c>
      <c r="C22" s="31" t="s">
        <v>235</v>
      </c>
      <c r="D22" s="31" t="s">
        <v>615</v>
      </c>
      <c r="E22" s="10">
        <f>SUM(E23:E29)</f>
        <v>22901000</v>
      </c>
      <c r="F22" s="31"/>
      <c r="G22" s="11">
        <f t="shared" si="0"/>
        <v>22901000</v>
      </c>
      <c r="M22" s="7"/>
    </row>
    <row r="23" spans="1:13" ht="15">
      <c r="A23" s="26" t="s">
        <v>0</v>
      </c>
      <c r="B23" s="13" t="s">
        <v>557</v>
      </c>
      <c r="C23" s="30" t="s">
        <v>233</v>
      </c>
      <c r="D23" s="30" t="s">
        <v>570</v>
      </c>
      <c r="E23" s="14">
        <v>1000000</v>
      </c>
      <c r="F23" s="30"/>
      <c r="G23" s="15">
        <f t="shared" si="0"/>
        <v>1000000</v>
      </c>
      <c r="I23" s="7"/>
      <c r="J23" s="7"/>
      <c r="M23" s="7"/>
    </row>
    <row r="24" spans="1:10" ht="15">
      <c r="A24" s="26" t="s">
        <v>0</v>
      </c>
      <c r="B24" s="13" t="s">
        <v>558</v>
      </c>
      <c r="C24" s="30" t="s">
        <v>231</v>
      </c>
      <c r="D24" s="30" t="s">
        <v>570</v>
      </c>
      <c r="E24" s="14">
        <v>1000000</v>
      </c>
      <c r="F24" s="30"/>
      <c r="G24" s="15">
        <f t="shared" si="0"/>
        <v>1000000</v>
      </c>
      <c r="I24" s="7"/>
      <c r="J24" s="7"/>
    </row>
    <row r="25" spans="1:7" ht="15">
      <c r="A25" s="26" t="s">
        <v>0</v>
      </c>
      <c r="B25" s="13" t="s">
        <v>234</v>
      </c>
      <c r="C25" s="30" t="s">
        <v>229</v>
      </c>
      <c r="D25" s="30" t="s">
        <v>570</v>
      </c>
      <c r="E25" s="14">
        <v>500000</v>
      </c>
      <c r="F25" s="30"/>
      <c r="G25" s="15">
        <f t="shared" si="0"/>
        <v>500000</v>
      </c>
    </row>
    <row r="26" spans="1:7" ht="15">
      <c r="A26" s="26" t="s">
        <v>0</v>
      </c>
      <c r="B26" s="13" t="s">
        <v>232</v>
      </c>
      <c r="C26" s="30" t="s">
        <v>227</v>
      </c>
      <c r="D26" s="30" t="s">
        <v>562</v>
      </c>
      <c r="E26" s="14">
        <f>ROUND(E12*0.25/100,-3)</f>
        <v>4194000</v>
      </c>
      <c r="F26" s="30"/>
      <c r="G26" s="15">
        <f t="shared" si="0"/>
        <v>4194000</v>
      </c>
    </row>
    <row r="27" spans="1:10" ht="15">
      <c r="A27" s="26" t="s">
        <v>0</v>
      </c>
      <c r="B27" s="13" t="s">
        <v>559</v>
      </c>
      <c r="C27" s="30" t="s">
        <v>560</v>
      </c>
      <c r="D27" s="30" t="s">
        <v>561</v>
      </c>
      <c r="E27" s="14">
        <v>330000</v>
      </c>
      <c r="F27" s="30"/>
      <c r="G27" s="15">
        <f t="shared" si="0"/>
        <v>330000</v>
      </c>
      <c r="I27" s="7"/>
      <c r="J27" s="7"/>
    </row>
    <row r="28" spans="1:7" ht="15">
      <c r="A28" s="26" t="s">
        <v>0</v>
      </c>
      <c r="B28" s="13" t="s">
        <v>230</v>
      </c>
      <c r="C28" s="30" t="s">
        <v>613</v>
      </c>
      <c r="D28" s="30" t="s">
        <v>565</v>
      </c>
      <c r="E28" s="14">
        <f>ROUND(I31*0.57/100,-3)</f>
        <v>10877000</v>
      </c>
      <c r="F28" s="30"/>
      <c r="G28" s="15">
        <f t="shared" si="0"/>
        <v>10877000</v>
      </c>
    </row>
    <row r="29" spans="1:7" ht="15">
      <c r="A29" s="26" t="s">
        <v>0</v>
      </c>
      <c r="B29" s="13" t="s">
        <v>228</v>
      </c>
      <c r="C29" s="30" t="s">
        <v>614</v>
      </c>
      <c r="D29" s="30" t="s">
        <v>566</v>
      </c>
      <c r="E29" s="14">
        <v>5000000</v>
      </c>
      <c r="F29" s="30"/>
      <c r="G29" s="15">
        <f t="shared" si="0"/>
        <v>5000000</v>
      </c>
    </row>
    <row r="30" spans="1:12" ht="15.75">
      <c r="A30" s="27" t="s">
        <v>226</v>
      </c>
      <c r="B30" s="9" t="s">
        <v>225</v>
      </c>
      <c r="C30" s="31" t="s">
        <v>224</v>
      </c>
      <c r="D30" s="31" t="s">
        <v>618</v>
      </c>
      <c r="E30" s="10">
        <f>E31</f>
        <v>191796000</v>
      </c>
      <c r="F30" s="31"/>
      <c r="G30" s="11">
        <f t="shared" si="0"/>
        <v>191796000</v>
      </c>
      <c r="L30" s="198">
        <f>E12/1.08</f>
        <v>1553476851.8518517</v>
      </c>
    </row>
    <row r="31" spans="1:9" ht="15">
      <c r="A31" s="26" t="s">
        <v>0</v>
      </c>
      <c r="B31" s="13" t="s">
        <v>223</v>
      </c>
      <c r="C31" s="30" t="s">
        <v>222</v>
      </c>
      <c r="D31" s="30" t="s">
        <v>612</v>
      </c>
      <c r="E31" s="14">
        <f>I32-E12-E14-E15-E22</f>
        <v>191796000</v>
      </c>
      <c r="F31" s="30"/>
      <c r="G31" s="15">
        <f t="shared" si="0"/>
        <v>191796000</v>
      </c>
      <c r="I31" s="7">
        <f>I32-191796000</f>
        <v>1908204000</v>
      </c>
    </row>
    <row r="32" spans="1:9" ht="15.75">
      <c r="A32" s="27" t="s">
        <v>221</v>
      </c>
      <c r="B32" s="9" t="s">
        <v>563</v>
      </c>
      <c r="C32" s="31" t="s">
        <v>220</v>
      </c>
      <c r="D32" s="31" t="s">
        <v>567</v>
      </c>
      <c r="E32" s="10">
        <f>ROUND(E12+E14+E15+E22+E30,-3)</f>
        <v>2100000000</v>
      </c>
      <c r="F32" s="31"/>
      <c r="G32" s="11">
        <f t="shared" si="0"/>
        <v>2100000000</v>
      </c>
      <c r="I32" s="10">
        <v>2100000000</v>
      </c>
    </row>
    <row r="33" spans="1:7" ht="15.75" thickBot="1">
      <c r="A33" s="28" t="s">
        <v>0</v>
      </c>
      <c r="B33" s="17" t="s">
        <v>0</v>
      </c>
      <c r="C33" s="32" t="s">
        <v>0</v>
      </c>
      <c r="D33" s="17" t="s">
        <v>0</v>
      </c>
      <c r="E33" s="18"/>
      <c r="F33" s="32">
        <v>0</v>
      </c>
      <c r="G33" s="19">
        <f t="shared" si="0"/>
        <v>0</v>
      </c>
    </row>
    <row r="35" spans="4:7" ht="15">
      <c r="D35" s="246"/>
      <c r="E35" s="246"/>
      <c r="F35" s="246"/>
      <c r="G35" s="246"/>
    </row>
    <row r="36" spans="4:7" ht="15.75">
      <c r="D36" s="247"/>
      <c r="E36" s="247"/>
      <c r="F36" s="247"/>
      <c r="G36" s="247"/>
    </row>
    <row r="37" spans="4:7" ht="15.75">
      <c r="D37" s="247"/>
      <c r="E37" s="247"/>
      <c r="F37" s="247"/>
      <c r="G37" s="247"/>
    </row>
  </sheetData>
  <sheetProtection/>
  <mergeCells count="10">
    <mergeCell ref="A9:G9"/>
    <mergeCell ref="D35:G35"/>
    <mergeCell ref="D36:G36"/>
    <mergeCell ref="D37:G37"/>
    <mergeCell ref="A1:G1"/>
    <mergeCell ref="A2:G2"/>
    <mergeCell ref="A3:G3"/>
    <mergeCell ref="A5:G5"/>
    <mergeCell ref="A7:G7"/>
    <mergeCell ref="A8:G8"/>
  </mergeCells>
  <printOptions horizontalCentered="1"/>
  <pageMargins left="0.5" right="0.5" top="0.7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showZeros="0" zoomScalePageLayoutView="0" workbookViewId="0" topLeftCell="A4">
      <selection activeCell="G35" sqref="G35"/>
    </sheetView>
  </sheetViews>
  <sheetFormatPr defaultColWidth="8.796875" defaultRowHeight="15"/>
  <cols>
    <col min="1" max="1" width="4.59765625" style="24" customWidth="1"/>
    <col min="2" max="2" width="31.5" style="6" customWidth="1"/>
    <col min="3" max="3" width="5.5" style="24" customWidth="1"/>
    <col min="4" max="4" width="22.69921875" style="6" customWidth="1"/>
    <col min="5" max="5" width="16.3984375" style="7" customWidth="1"/>
    <col min="6" max="16384" width="9" style="6" customWidth="1"/>
  </cols>
  <sheetData>
    <row r="1" spans="1:5" ht="21">
      <c r="A1" s="251" t="s">
        <v>485</v>
      </c>
      <c r="B1" s="251"/>
      <c r="C1" s="251"/>
      <c r="D1" s="251"/>
      <c r="E1" s="251"/>
    </row>
    <row r="2" spans="1:5" ht="15.75">
      <c r="A2" s="33"/>
      <c r="B2" s="2"/>
      <c r="C2" s="33"/>
      <c r="D2" s="2"/>
      <c r="E2" s="4"/>
    </row>
    <row r="3" spans="1:5" s="39" customFormat="1" ht="16.5">
      <c r="A3" s="250" t="s">
        <v>477</v>
      </c>
      <c r="B3" s="250"/>
      <c r="C3" s="250"/>
      <c r="D3" s="250"/>
      <c r="E3" s="250"/>
    </row>
    <row r="4" spans="1:5" s="39" customFormat="1" ht="16.5">
      <c r="A4" s="250" t="s">
        <v>478</v>
      </c>
      <c r="B4" s="250"/>
      <c r="C4" s="250"/>
      <c r="D4" s="250"/>
      <c r="E4" s="250"/>
    </row>
    <row r="5" spans="1:5" s="39" customFormat="1" ht="16.5">
      <c r="A5" s="250"/>
      <c r="B5" s="250"/>
      <c r="C5" s="250"/>
      <c r="D5" s="250"/>
      <c r="E5" s="250"/>
    </row>
    <row r="6" spans="1:5" ht="16.5" thickBot="1">
      <c r="A6" s="33"/>
      <c r="B6" s="2"/>
      <c r="C6" s="33"/>
      <c r="D6" s="2"/>
      <c r="E6" s="4"/>
    </row>
    <row r="7" spans="1:5" ht="36" customHeight="1">
      <c r="A7" s="34" t="s">
        <v>275</v>
      </c>
      <c r="B7" s="35" t="s">
        <v>479</v>
      </c>
      <c r="C7" s="36" t="s">
        <v>480</v>
      </c>
      <c r="D7" s="35" t="s">
        <v>481</v>
      </c>
      <c r="E7" s="40" t="s">
        <v>486</v>
      </c>
    </row>
    <row r="8" spans="1:5" ht="15.75">
      <c r="A8" s="25" t="s">
        <v>299</v>
      </c>
      <c r="B8" s="21" t="s">
        <v>1</v>
      </c>
      <c r="C8" s="29" t="s">
        <v>0</v>
      </c>
      <c r="D8" s="21" t="s">
        <v>0</v>
      </c>
      <c r="E8" s="23"/>
    </row>
    <row r="9" spans="1:5" ht="15">
      <c r="A9" s="26" t="s">
        <v>0</v>
      </c>
      <c r="B9" s="13" t="s">
        <v>297</v>
      </c>
      <c r="C9" s="30" t="s">
        <v>296</v>
      </c>
      <c r="D9" s="13" t="s">
        <v>295</v>
      </c>
      <c r="E9" s="15">
        <f>E10+E11+E12</f>
        <v>1342287759.0903935</v>
      </c>
    </row>
    <row r="10" spans="1:5" ht="15">
      <c r="A10" s="26" t="s">
        <v>0</v>
      </c>
      <c r="B10" s="13" t="s">
        <v>294</v>
      </c>
      <c r="C10" s="30" t="s">
        <v>293</v>
      </c>
      <c r="D10" s="13" t="s">
        <v>292</v>
      </c>
      <c r="E10" s="15">
        <f>'Du toan chi tiet'!I9</f>
        <v>1133562019.521606</v>
      </c>
    </row>
    <row r="11" spans="1:5" ht="15">
      <c r="A11" s="26" t="s">
        <v>0</v>
      </c>
      <c r="B11" s="13" t="s">
        <v>291</v>
      </c>
      <c r="C11" s="30" t="s">
        <v>290</v>
      </c>
      <c r="D11" s="13" t="s">
        <v>289</v>
      </c>
      <c r="E11" s="15">
        <f>'Du toan chi tiet'!J9</f>
        <v>123896874.3245392</v>
      </c>
    </row>
    <row r="12" spans="1:5" ht="15">
      <c r="A12" s="26" t="s">
        <v>0</v>
      </c>
      <c r="B12" s="13" t="s">
        <v>288</v>
      </c>
      <c r="C12" s="30" t="s">
        <v>287</v>
      </c>
      <c r="D12" s="13" t="s">
        <v>286</v>
      </c>
      <c r="E12" s="15">
        <f>'Du toan chi tiet'!K9</f>
        <v>84828865.24424839</v>
      </c>
    </row>
    <row r="13" spans="1:5" ht="15">
      <c r="A13" s="26" t="s">
        <v>0</v>
      </c>
      <c r="B13" s="13" t="s">
        <v>285</v>
      </c>
      <c r="C13" s="30" t="s">
        <v>284</v>
      </c>
      <c r="D13" s="13" t="s">
        <v>283</v>
      </c>
      <c r="E13" s="15">
        <f>E14+E15+E16</f>
        <v>130201912.63176818</v>
      </c>
    </row>
    <row r="14" spans="1:5" ht="15">
      <c r="A14" s="26" t="s">
        <v>0</v>
      </c>
      <c r="B14" s="13" t="s">
        <v>282</v>
      </c>
      <c r="C14" s="30" t="s">
        <v>281</v>
      </c>
      <c r="D14" s="13" t="s">
        <v>280</v>
      </c>
      <c r="E14" s="15">
        <f>E9*5.5/100</f>
        <v>73825826.74997164</v>
      </c>
    </row>
    <row r="15" spans="1:5" ht="15">
      <c r="A15" s="26" t="s">
        <v>0</v>
      </c>
      <c r="B15" s="13" t="s">
        <v>279</v>
      </c>
      <c r="C15" s="30" t="s">
        <v>278</v>
      </c>
      <c r="D15" s="13" t="s">
        <v>277</v>
      </c>
      <c r="E15" s="15">
        <f>E9*2.2/100</f>
        <v>29530330.69998866</v>
      </c>
    </row>
    <row r="16" spans="1:5" ht="15">
      <c r="A16" s="26" t="s">
        <v>0</v>
      </c>
      <c r="B16" s="13" t="s">
        <v>276</v>
      </c>
      <c r="C16" s="30" t="s">
        <v>275</v>
      </c>
      <c r="D16" s="13" t="s">
        <v>274</v>
      </c>
      <c r="E16" s="15">
        <f>E9*2/100</f>
        <v>26845755.181807872</v>
      </c>
    </row>
    <row r="17" spans="1:5" ht="15">
      <c r="A17" s="26" t="s">
        <v>0</v>
      </c>
      <c r="B17" s="13" t="s">
        <v>273</v>
      </c>
      <c r="C17" s="30" t="s">
        <v>272</v>
      </c>
      <c r="D17" s="13" t="s">
        <v>271</v>
      </c>
      <c r="E17" s="15">
        <f>(E9+E13)*5.5/100</f>
        <v>80986931.9447189</v>
      </c>
    </row>
    <row r="18" spans="1:5" ht="15.75">
      <c r="A18" s="27" t="s">
        <v>270</v>
      </c>
      <c r="B18" s="9" t="s">
        <v>269</v>
      </c>
      <c r="C18" s="31" t="s">
        <v>220</v>
      </c>
      <c r="D18" s="9" t="s">
        <v>268</v>
      </c>
      <c r="E18" s="11">
        <f>E9+E13+E17</f>
        <v>1553476603.6668806</v>
      </c>
    </row>
    <row r="19" spans="1:5" ht="15">
      <c r="A19" s="26" t="s">
        <v>0</v>
      </c>
      <c r="B19" s="13" t="s">
        <v>267</v>
      </c>
      <c r="C19" s="30" t="s">
        <v>266</v>
      </c>
      <c r="D19" s="13" t="s">
        <v>265</v>
      </c>
      <c r="E19" s="15">
        <f>E18*8/100</f>
        <v>124278128.29335044</v>
      </c>
    </row>
    <row r="20" spans="1:5" ht="15.75">
      <c r="A20" s="27" t="s">
        <v>264</v>
      </c>
      <c r="B20" s="9" t="s">
        <v>263</v>
      </c>
      <c r="C20" s="31" t="s">
        <v>262</v>
      </c>
      <c r="D20" s="9" t="s">
        <v>261</v>
      </c>
      <c r="E20" s="11">
        <f>E18+E19</f>
        <v>1677754731.960231</v>
      </c>
    </row>
    <row r="21" spans="1:5" ht="15">
      <c r="A21" s="26" t="s">
        <v>0</v>
      </c>
      <c r="B21" s="13" t="s">
        <v>0</v>
      </c>
      <c r="C21" s="30" t="s">
        <v>0</v>
      </c>
      <c r="D21" s="13" t="s">
        <v>0</v>
      </c>
      <c r="E21" s="15"/>
    </row>
    <row r="22" spans="1:5" ht="15.75" hidden="1">
      <c r="A22" s="27" t="s">
        <v>298</v>
      </c>
      <c r="B22" s="9" t="s">
        <v>173</v>
      </c>
      <c r="C22" s="31" t="s">
        <v>0</v>
      </c>
      <c r="D22" s="9" t="s">
        <v>0</v>
      </c>
      <c r="E22" s="11"/>
    </row>
    <row r="23" spans="1:5" ht="15" hidden="1">
      <c r="A23" s="26" t="s">
        <v>0</v>
      </c>
      <c r="B23" s="13" t="s">
        <v>297</v>
      </c>
      <c r="C23" s="30" t="s">
        <v>296</v>
      </c>
      <c r="D23" s="13" t="s">
        <v>295</v>
      </c>
      <c r="E23" s="15" t="e">
        <f>E24+E25+E26</f>
        <v>#REF!</v>
      </c>
    </row>
    <row r="24" spans="1:5" ht="15" hidden="1">
      <c r="A24" s="26" t="s">
        <v>0</v>
      </c>
      <c r="B24" s="13" t="s">
        <v>294</v>
      </c>
      <c r="C24" s="30" t="s">
        <v>293</v>
      </c>
      <c r="D24" s="13" t="s">
        <v>292</v>
      </c>
      <c r="E24" s="15" t="e">
        <f>'Du toan chi tiet'!#REF!</f>
        <v>#REF!</v>
      </c>
    </row>
    <row r="25" spans="1:5" ht="15" hidden="1">
      <c r="A25" s="26" t="s">
        <v>0</v>
      </c>
      <c r="B25" s="13" t="s">
        <v>291</v>
      </c>
      <c r="C25" s="30" t="s">
        <v>290</v>
      </c>
      <c r="D25" s="13" t="s">
        <v>289</v>
      </c>
      <c r="E25" s="15" t="e">
        <f>'Du toan chi tiet'!#REF!</f>
        <v>#REF!</v>
      </c>
    </row>
    <row r="26" spans="1:5" ht="15" hidden="1">
      <c r="A26" s="26" t="s">
        <v>0</v>
      </c>
      <c r="B26" s="13" t="s">
        <v>288</v>
      </c>
      <c r="C26" s="30" t="s">
        <v>287</v>
      </c>
      <c r="D26" s="13" t="s">
        <v>286</v>
      </c>
      <c r="E26" s="15" t="e">
        <f>'Du toan chi tiet'!#REF!</f>
        <v>#REF!</v>
      </c>
    </row>
    <row r="27" spans="1:5" ht="15" hidden="1">
      <c r="A27" s="26" t="s">
        <v>0</v>
      </c>
      <c r="B27" s="13" t="s">
        <v>285</v>
      </c>
      <c r="C27" s="30" t="s">
        <v>284</v>
      </c>
      <c r="D27" s="13" t="s">
        <v>283</v>
      </c>
      <c r="E27" s="15" t="e">
        <f>E28+E29+E30</f>
        <v>#REF!</v>
      </c>
    </row>
    <row r="28" spans="1:5" ht="15" hidden="1">
      <c r="A28" s="26" t="s">
        <v>0</v>
      </c>
      <c r="B28" s="13" t="s">
        <v>282</v>
      </c>
      <c r="C28" s="30" t="s">
        <v>281</v>
      </c>
      <c r="D28" s="13" t="s">
        <v>280</v>
      </c>
      <c r="E28" s="15" t="e">
        <f>E23*5.5/100</f>
        <v>#REF!</v>
      </c>
    </row>
    <row r="29" spans="1:5" ht="15" hidden="1">
      <c r="A29" s="26" t="s">
        <v>0</v>
      </c>
      <c r="B29" s="13" t="s">
        <v>279</v>
      </c>
      <c r="C29" s="30" t="s">
        <v>278</v>
      </c>
      <c r="D29" s="13" t="s">
        <v>277</v>
      </c>
      <c r="E29" s="15" t="e">
        <f>E23*2.2/100</f>
        <v>#REF!</v>
      </c>
    </row>
    <row r="30" spans="1:5" ht="15" hidden="1">
      <c r="A30" s="26" t="s">
        <v>0</v>
      </c>
      <c r="B30" s="13" t="s">
        <v>276</v>
      </c>
      <c r="C30" s="30" t="s">
        <v>275</v>
      </c>
      <c r="D30" s="13" t="s">
        <v>274</v>
      </c>
      <c r="E30" s="15" t="e">
        <f>E23*2/100</f>
        <v>#REF!</v>
      </c>
    </row>
    <row r="31" spans="1:5" ht="15" hidden="1">
      <c r="A31" s="26" t="s">
        <v>0</v>
      </c>
      <c r="B31" s="13" t="s">
        <v>273</v>
      </c>
      <c r="C31" s="30" t="s">
        <v>272</v>
      </c>
      <c r="D31" s="13" t="s">
        <v>271</v>
      </c>
      <c r="E31" s="15" t="e">
        <f>(E23+E27)*5.5/100</f>
        <v>#REF!</v>
      </c>
    </row>
    <row r="32" spans="1:5" ht="15.75" hidden="1">
      <c r="A32" s="27" t="s">
        <v>270</v>
      </c>
      <c r="B32" s="9" t="s">
        <v>269</v>
      </c>
      <c r="C32" s="31" t="s">
        <v>220</v>
      </c>
      <c r="D32" s="9" t="s">
        <v>268</v>
      </c>
      <c r="E32" s="11" t="e">
        <f>E23+E27+E31</f>
        <v>#REF!</v>
      </c>
    </row>
    <row r="33" spans="1:5" ht="15" hidden="1">
      <c r="A33" s="26" t="s">
        <v>0</v>
      </c>
      <c r="B33" s="13" t="s">
        <v>267</v>
      </c>
      <c r="C33" s="30" t="s">
        <v>266</v>
      </c>
      <c r="D33" s="13" t="s">
        <v>265</v>
      </c>
      <c r="E33" s="15" t="e">
        <f>E32*8/100</f>
        <v>#REF!</v>
      </c>
    </row>
    <row r="34" spans="1:5" ht="15.75" hidden="1">
      <c r="A34" s="27" t="s">
        <v>264</v>
      </c>
      <c r="B34" s="9" t="s">
        <v>263</v>
      </c>
      <c r="C34" s="31" t="s">
        <v>262</v>
      </c>
      <c r="D34" s="9" t="s">
        <v>261</v>
      </c>
      <c r="E34" s="11" t="e">
        <f>E32+E33</f>
        <v>#REF!</v>
      </c>
    </row>
    <row r="35" spans="1:5" ht="15.75" thickBot="1">
      <c r="A35" s="28" t="s">
        <v>0</v>
      </c>
      <c r="B35" s="17" t="s">
        <v>0</v>
      </c>
      <c r="C35" s="32" t="s">
        <v>0</v>
      </c>
      <c r="D35" s="17" t="s">
        <v>0</v>
      </c>
      <c r="E35" s="19"/>
    </row>
    <row r="37" spans="4:5" ht="15">
      <c r="D37" s="246"/>
      <c r="E37" s="246"/>
    </row>
    <row r="38" spans="4:5" ht="15.75">
      <c r="D38" s="247"/>
      <c r="E38" s="247"/>
    </row>
    <row r="39" spans="4:5" ht="15.75">
      <c r="D39" s="247"/>
      <c r="E39" s="247"/>
    </row>
  </sheetData>
  <sheetProtection/>
  <mergeCells count="7">
    <mergeCell ref="D39:E39"/>
    <mergeCell ref="A1:E1"/>
    <mergeCell ref="A3:E3"/>
    <mergeCell ref="A4:E4"/>
    <mergeCell ref="A5:E5"/>
    <mergeCell ref="D37:E37"/>
    <mergeCell ref="D38:E38"/>
  </mergeCells>
  <printOptions horizontalCentered="1"/>
  <pageMargins left="0.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2"/>
  <sheetViews>
    <sheetView showZeros="0" zoomScalePageLayoutView="0" workbookViewId="0" topLeftCell="A19">
      <selection activeCell="J61" sqref="J61"/>
    </sheetView>
  </sheetViews>
  <sheetFormatPr defaultColWidth="8.796875" defaultRowHeight="15"/>
  <cols>
    <col min="1" max="1" width="3.3984375" style="41" customWidth="1"/>
    <col min="2" max="2" width="12.59765625" style="41" bestFit="1" customWidth="1"/>
    <col min="3" max="3" width="36.19921875" style="41" bestFit="1" customWidth="1"/>
    <col min="4" max="4" width="4.8984375" style="41" customWidth="1"/>
    <col min="5" max="5" width="9.69921875" style="64" customWidth="1"/>
    <col min="6" max="6" width="11.19921875" style="42" customWidth="1"/>
    <col min="7" max="7" width="10" style="42" customWidth="1"/>
    <col min="8" max="8" width="10.09765625" style="42" customWidth="1"/>
    <col min="9" max="11" width="11.5" style="43" customWidth="1"/>
    <col min="12" max="13" width="9" style="200" customWidth="1"/>
    <col min="14" max="16384" width="9" style="41" customWidth="1"/>
  </cols>
  <sheetData>
    <row r="1" spans="1:11" ht="21" customHeight="1">
      <c r="A1" s="251" t="s">
        <v>487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4.25">
      <c r="A2" s="44"/>
      <c r="B2" s="44"/>
      <c r="C2" s="44"/>
      <c r="D2" s="44"/>
      <c r="E2" s="68"/>
      <c r="F2" s="45"/>
      <c r="G2" s="45"/>
      <c r="H2" s="45"/>
      <c r="I2" s="46"/>
      <c r="J2" s="46"/>
      <c r="K2" s="46"/>
    </row>
    <row r="3" spans="1:13" s="39" customFormat="1" ht="16.5" customHeight="1">
      <c r="A3" s="250" t="s">
        <v>477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01"/>
      <c r="M3" s="201"/>
    </row>
    <row r="4" spans="1:13" s="39" customFormat="1" ht="16.5" customHeight="1">
      <c r="A4" s="250" t="s">
        <v>478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01"/>
      <c r="M4" s="201"/>
    </row>
    <row r="5" spans="1:13" s="39" customFormat="1" ht="16.5" customHeight="1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01"/>
      <c r="M5" s="201"/>
    </row>
    <row r="6" spans="1:11" ht="15" thickBot="1">
      <c r="A6" s="44"/>
      <c r="B6" s="44"/>
      <c r="C6" s="44"/>
      <c r="D6" s="44"/>
      <c r="E6" s="68"/>
      <c r="F6" s="45"/>
      <c r="G6" s="45"/>
      <c r="H6" s="45"/>
      <c r="I6" s="46"/>
      <c r="J6" s="46"/>
      <c r="K6" s="46"/>
    </row>
    <row r="7" spans="1:11" ht="22.5" customHeight="1">
      <c r="A7" s="261" t="s">
        <v>275</v>
      </c>
      <c r="B7" s="252" t="s">
        <v>489</v>
      </c>
      <c r="C7" s="254" t="s">
        <v>490</v>
      </c>
      <c r="D7" s="252" t="s">
        <v>491</v>
      </c>
      <c r="E7" s="255" t="s">
        <v>492</v>
      </c>
      <c r="F7" s="256" t="s">
        <v>488</v>
      </c>
      <c r="G7" s="257"/>
      <c r="H7" s="258"/>
      <c r="I7" s="259" t="s">
        <v>486</v>
      </c>
      <c r="J7" s="257"/>
      <c r="K7" s="260"/>
    </row>
    <row r="8" spans="1:11" ht="22.5" customHeight="1">
      <c r="A8" s="262"/>
      <c r="B8" s="253"/>
      <c r="C8" s="253"/>
      <c r="D8" s="253"/>
      <c r="E8" s="253"/>
      <c r="F8" s="69" t="s">
        <v>493</v>
      </c>
      <c r="G8" s="69" t="s">
        <v>494</v>
      </c>
      <c r="H8" s="69" t="s">
        <v>495</v>
      </c>
      <c r="I8" s="70" t="s">
        <v>493</v>
      </c>
      <c r="J8" s="70" t="s">
        <v>494</v>
      </c>
      <c r="K8" s="71" t="s">
        <v>496</v>
      </c>
    </row>
    <row r="9" spans="1:11" ht="14.25">
      <c r="A9" s="59" t="s">
        <v>2</v>
      </c>
      <c r="B9" s="60" t="s">
        <v>0</v>
      </c>
      <c r="C9" s="60" t="s">
        <v>1</v>
      </c>
      <c r="D9" s="60" t="s">
        <v>0</v>
      </c>
      <c r="E9" s="65"/>
      <c r="F9" s="61"/>
      <c r="G9" s="61"/>
      <c r="H9" s="61"/>
      <c r="I9" s="62">
        <f>SUM(I10:I81)</f>
        <v>1133562019.521606</v>
      </c>
      <c r="J9" s="62">
        <f>SUM(J10:J70)</f>
        <v>123896874.3245392</v>
      </c>
      <c r="K9" s="63">
        <f>SUM(K10:K70)</f>
        <v>84828865.24424839</v>
      </c>
    </row>
    <row r="10" spans="1:11" ht="14.25">
      <c r="A10" s="49" t="s">
        <v>366</v>
      </c>
      <c r="B10" s="50" t="s">
        <v>3</v>
      </c>
      <c r="C10" s="50" t="s">
        <v>4</v>
      </c>
      <c r="D10" s="50" t="s">
        <v>5</v>
      </c>
      <c r="E10" s="66">
        <f>404.56</f>
        <v>404.56</v>
      </c>
      <c r="F10" s="51"/>
      <c r="G10" s="51">
        <f>'Phan tich don gia'!G10</f>
        <v>10075.57912</v>
      </c>
      <c r="H10" s="51">
        <f>'Phan tich don gia'!G12</f>
        <v>16022.14134</v>
      </c>
      <c r="I10" s="52">
        <f>E10*F10</f>
        <v>0</v>
      </c>
      <c r="J10" s="52">
        <f>E10*G10</f>
        <v>4076176.2887872</v>
      </c>
      <c r="K10" s="53">
        <f>E10*H10</f>
        <v>6481917.5005104</v>
      </c>
    </row>
    <row r="11" spans="1:11" ht="14.25">
      <c r="A11" s="49" t="s">
        <v>0</v>
      </c>
      <c r="B11" s="50" t="s">
        <v>0</v>
      </c>
      <c r="C11" s="50" t="s">
        <v>365</v>
      </c>
      <c r="D11" s="50" t="s">
        <v>0</v>
      </c>
      <c r="E11" s="66"/>
      <c r="F11" s="51"/>
      <c r="G11" s="51"/>
      <c r="H11" s="51"/>
      <c r="I11" s="52"/>
      <c r="J11" s="52"/>
      <c r="K11" s="53"/>
    </row>
    <row r="12" spans="1:11" ht="14.25">
      <c r="A12" s="49" t="s">
        <v>364</v>
      </c>
      <c r="B12" s="50" t="s">
        <v>12</v>
      </c>
      <c r="C12" s="50" t="s">
        <v>13</v>
      </c>
      <c r="D12" s="50" t="s">
        <v>5</v>
      </c>
      <c r="E12" s="66">
        <f>32.4</f>
        <v>32.4</v>
      </c>
      <c r="F12" s="51"/>
      <c r="G12" s="51">
        <f>'Phan tich don gia'!G17</f>
        <v>354065.904</v>
      </c>
      <c r="H12" s="51"/>
      <c r="I12" s="52">
        <f>E12*F12</f>
        <v>0</v>
      </c>
      <c r="J12" s="52">
        <f>E12*G12</f>
        <v>11471735.2896</v>
      </c>
      <c r="K12" s="53">
        <f>E12*H12</f>
        <v>0</v>
      </c>
    </row>
    <row r="13" spans="1:11" ht="14.25">
      <c r="A13" s="49" t="s">
        <v>0</v>
      </c>
      <c r="B13" s="50" t="s">
        <v>0</v>
      </c>
      <c r="C13" s="50" t="s">
        <v>363</v>
      </c>
      <c r="D13" s="50" t="s">
        <v>0</v>
      </c>
      <c r="E13" s="66"/>
      <c r="F13" s="51"/>
      <c r="G13" s="51"/>
      <c r="H13" s="51"/>
      <c r="I13" s="52"/>
      <c r="J13" s="52"/>
      <c r="K13" s="53"/>
    </row>
    <row r="14" spans="1:11" ht="14.25">
      <c r="A14" s="49" t="s">
        <v>362</v>
      </c>
      <c r="B14" s="50" t="s">
        <v>15</v>
      </c>
      <c r="C14" s="50" t="s">
        <v>16</v>
      </c>
      <c r="D14" s="50" t="s">
        <v>5</v>
      </c>
      <c r="E14" s="66">
        <f>11.1</f>
        <v>11.1</v>
      </c>
      <c r="F14" s="51">
        <f>'Phan tich don gia'!G22</f>
        <v>842364.63398</v>
      </c>
      <c r="G14" s="51">
        <f>'Phan tich don gia'!G27</f>
        <v>246774.421</v>
      </c>
      <c r="H14" s="51">
        <f>'Phan tich don gia'!G29</f>
        <v>54409.0095</v>
      </c>
      <c r="I14" s="52">
        <f>E14*F14</f>
        <v>9350247.437178</v>
      </c>
      <c r="J14" s="52">
        <f>E14*G14</f>
        <v>2739196.0731</v>
      </c>
      <c r="K14" s="53">
        <f>E14*H14</f>
        <v>603940.0054499999</v>
      </c>
    </row>
    <row r="15" spans="1:11" ht="14.25">
      <c r="A15" s="49" t="s">
        <v>0</v>
      </c>
      <c r="B15" s="50" t="s">
        <v>0</v>
      </c>
      <c r="C15" s="50" t="s">
        <v>361</v>
      </c>
      <c r="D15" s="50" t="s">
        <v>0</v>
      </c>
      <c r="E15" s="66"/>
      <c r="F15" s="51"/>
      <c r="G15" s="51"/>
      <c r="H15" s="51"/>
      <c r="I15" s="52"/>
      <c r="J15" s="52"/>
      <c r="K15" s="53"/>
    </row>
    <row r="16" spans="1:11" ht="14.25">
      <c r="A16" s="49" t="s">
        <v>360</v>
      </c>
      <c r="B16" s="50" t="s">
        <v>28</v>
      </c>
      <c r="C16" s="50" t="s">
        <v>29</v>
      </c>
      <c r="D16" s="50" t="s">
        <v>5</v>
      </c>
      <c r="E16" s="66">
        <f>52.54</f>
        <v>52.54</v>
      </c>
      <c r="F16" s="51">
        <f>'Phan tich don gia'!G35</f>
        <v>925725.51092</v>
      </c>
      <c r="G16" s="51">
        <f>'Phan tich don gia'!G41</f>
        <v>283675.269</v>
      </c>
      <c r="H16" s="51">
        <f>'Phan tich don gia'!G43</f>
        <v>54756.7503</v>
      </c>
      <c r="I16" s="52">
        <f>E16*F16</f>
        <v>48637618.3437368</v>
      </c>
      <c r="J16" s="52">
        <f>E16*G16</f>
        <v>14904298.633259999</v>
      </c>
      <c r="K16" s="53">
        <f>E16*H16</f>
        <v>2876919.660762</v>
      </c>
    </row>
    <row r="17" spans="1:11" ht="14.25">
      <c r="A17" s="49" t="s">
        <v>0</v>
      </c>
      <c r="B17" s="50" t="s">
        <v>0</v>
      </c>
      <c r="C17" s="50" t="s">
        <v>359</v>
      </c>
      <c r="D17" s="50" t="s">
        <v>0</v>
      </c>
      <c r="E17" s="66"/>
      <c r="F17" s="51"/>
      <c r="G17" s="51"/>
      <c r="H17" s="51"/>
      <c r="I17" s="52"/>
      <c r="J17" s="52"/>
      <c r="K17" s="53"/>
    </row>
    <row r="18" spans="1:11" ht="14.25">
      <c r="A18" s="49" t="s">
        <v>358</v>
      </c>
      <c r="B18" s="50" t="s">
        <v>35</v>
      </c>
      <c r="C18" s="50" t="s">
        <v>36</v>
      </c>
      <c r="D18" s="50" t="s">
        <v>5</v>
      </c>
      <c r="E18" s="66">
        <f>5.92</f>
        <v>5.92</v>
      </c>
      <c r="F18" s="51">
        <f>'Phan tich don gia'!G49</f>
        <v>1013493.37612</v>
      </c>
      <c r="G18" s="51">
        <f>'Phan tich don gia'!G55</f>
        <v>283675.269</v>
      </c>
      <c r="H18" s="51">
        <f>'Phan tich don gia'!G57</f>
        <v>54756.7503</v>
      </c>
      <c r="I18" s="52">
        <f>E18*F18</f>
        <v>5999880.7866304</v>
      </c>
      <c r="J18" s="52">
        <f>E18*G18</f>
        <v>1679357.5924799999</v>
      </c>
      <c r="K18" s="53">
        <f>E18*H18</f>
        <v>324159.961776</v>
      </c>
    </row>
    <row r="19" spans="1:11" ht="14.25">
      <c r="A19" s="49" t="s">
        <v>0</v>
      </c>
      <c r="B19" s="50" t="s">
        <v>0</v>
      </c>
      <c r="C19" s="50" t="s">
        <v>357</v>
      </c>
      <c r="D19" s="50" t="s">
        <v>0</v>
      </c>
      <c r="E19" s="66"/>
      <c r="F19" s="51"/>
      <c r="G19" s="51"/>
      <c r="H19" s="51"/>
      <c r="I19" s="52"/>
      <c r="J19" s="52"/>
      <c r="K19" s="53"/>
    </row>
    <row r="20" spans="1:11" ht="14.25">
      <c r="A20" s="49" t="s">
        <v>356</v>
      </c>
      <c r="B20" s="50" t="s">
        <v>40</v>
      </c>
      <c r="C20" s="50" t="s">
        <v>41</v>
      </c>
      <c r="D20" s="50" t="s">
        <v>42</v>
      </c>
      <c r="E20" s="66">
        <f>268.32</f>
        <v>268.32</v>
      </c>
      <c r="F20" s="51">
        <f>'Phan tich don gia'!G62</f>
        <v>57802.07044</v>
      </c>
      <c r="G20" s="51">
        <f>'Phan tich don gia'!G68</f>
        <v>74903.4</v>
      </c>
      <c r="H20" s="51"/>
      <c r="I20" s="52">
        <f>E20*F20</f>
        <v>15509451.5404608</v>
      </c>
      <c r="J20" s="52">
        <f>E20*G20</f>
        <v>20098080.288</v>
      </c>
      <c r="K20" s="53">
        <f>E20*H20</f>
        <v>0</v>
      </c>
    </row>
    <row r="21" spans="1:11" ht="14.25">
      <c r="A21" s="49" t="s">
        <v>0</v>
      </c>
      <c r="B21" s="50" t="s">
        <v>0</v>
      </c>
      <c r="C21" s="50" t="s">
        <v>355</v>
      </c>
      <c r="D21" s="50" t="s">
        <v>0</v>
      </c>
      <c r="E21" s="66"/>
      <c r="F21" s="51"/>
      <c r="G21" s="51"/>
      <c r="H21" s="51"/>
      <c r="I21" s="52"/>
      <c r="J21" s="52"/>
      <c r="K21" s="53"/>
    </row>
    <row r="22" spans="1:11" ht="14.25">
      <c r="A22" s="49" t="s">
        <v>354</v>
      </c>
      <c r="B22" s="50" t="s">
        <v>49</v>
      </c>
      <c r="C22" s="50" t="s">
        <v>50</v>
      </c>
      <c r="D22" s="50" t="s">
        <v>5</v>
      </c>
      <c r="E22" s="66">
        <f>367.4</f>
        <v>367.4</v>
      </c>
      <c r="F22" s="51"/>
      <c r="G22" s="51">
        <f>'Phan tich don gia'!G73</f>
        <v>11780.34088</v>
      </c>
      <c r="H22" s="51">
        <f>'Phan tich don gia'!G75</f>
        <v>12638.29375</v>
      </c>
      <c r="I22" s="52">
        <f>E22*F22</f>
        <v>0</v>
      </c>
      <c r="J22" s="52">
        <f>E22*G22</f>
        <v>4328097.239312</v>
      </c>
      <c r="K22" s="53">
        <f>E22*H22</f>
        <v>4643309.12375</v>
      </c>
    </row>
    <row r="23" spans="1:11" ht="14.25">
      <c r="A23" s="49" t="s">
        <v>0</v>
      </c>
      <c r="B23" s="50" t="s">
        <v>0</v>
      </c>
      <c r="C23" s="50" t="s">
        <v>353</v>
      </c>
      <c r="D23" s="50" t="s">
        <v>0</v>
      </c>
      <c r="E23" s="66"/>
      <c r="F23" s="51"/>
      <c r="G23" s="51"/>
      <c r="H23" s="51"/>
      <c r="I23" s="52"/>
      <c r="J23" s="52"/>
      <c r="K23" s="53"/>
    </row>
    <row r="24" spans="1:11" ht="14.25">
      <c r="A24" s="49" t="s">
        <v>352</v>
      </c>
      <c r="B24" s="50" t="s">
        <v>54</v>
      </c>
      <c r="C24" s="50" t="s">
        <v>55</v>
      </c>
      <c r="D24" s="50" t="s">
        <v>56</v>
      </c>
      <c r="E24" s="66">
        <f>56</f>
        <v>56</v>
      </c>
      <c r="F24" s="51">
        <f>'Phan tich don gia'!G79</f>
        <v>2784000</v>
      </c>
      <c r="G24" s="51">
        <f>'Phan tich don gia'!G81</f>
        <v>411086</v>
      </c>
      <c r="H24" s="51">
        <f>'Phan tich don gia'!G83</f>
        <v>216825.93</v>
      </c>
      <c r="I24" s="52">
        <f>E24*F24</f>
        <v>155904000</v>
      </c>
      <c r="J24" s="52">
        <f>E24*G24</f>
        <v>23020816</v>
      </c>
      <c r="K24" s="53">
        <f>E24*H24</f>
        <v>12142252.08</v>
      </c>
    </row>
    <row r="25" spans="1:11" ht="14.25">
      <c r="A25" s="49" t="s">
        <v>0</v>
      </c>
      <c r="B25" s="50" t="s">
        <v>0</v>
      </c>
      <c r="C25" s="50" t="s">
        <v>351</v>
      </c>
      <c r="D25" s="50" t="s">
        <v>0</v>
      </c>
      <c r="E25" s="66"/>
      <c r="F25" s="51"/>
      <c r="G25" s="51"/>
      <c r="H25" s="51"/>
      <c r="I25" s="52"/>
      <c r="J25" s="52"/>
      <c r="K25" s="53"/>
    </row>
    <row r="26" spans="1:11" ht="14.25">
      <c r="A26" s="49" t="s">
        <v>350</v>
      </c>
      <c r="B26" s="50" t="s">
        <v>61</v>
      </c>
      <c r="C26" s="50" t="s">
        <v>62</v>
      </c>
      <c r="D26" s="50" t="s">
        <v>56</v>
      </c>
      <c r="E26" s="66">
        <f>6</f>
        <v>6</v>
      </c>
      <c r="F26" s="51">
        <f>'Phan tich don gia'!G87</f>
        <v>3420000</v>
      </c>
      <c r="G26" s="51">
        <f>'Phan tich don gia'!G89</f>
        <v>411086</v>
      </c>
      <c r="H26" s="51">
        <f>'Phan tich don gia'!G91</f>
        <v>216825.93</v>
      </c>
      <c r="I26" s="52">
        <f>E26*F26</f>
        <v>20520000</v>
      </c>
      <c r="J26" s="52">
        <f>E26*G26</f>
        <v>2466516</v>
      </c>
      <c r="K26" s="53">
        <f>E26*H26</f>
        <v>1300955.58</v>
      </c>
    </row>
    <row r="27" spans="1:11" ht="14.25">
      <c r="A27" s="49" t="s">
        <v>0</v>
      </c>
      <c r="B27" s="50" t="s">
        <v>0</v>
      </c>
      <c r="C27" s="50" t="s">
        <v>319</v>
      </c>
      <c r="D27" s="50" t="s">
        <v>0</v>
      </c>
      <c r="E27" s="66"/>
      <c r="F27" s="51"/>
      <c r="G27" s="51"/>
      <c r="H27" s="51"/>
      <c r="I27" s="52"/>
      <c r="J27" s="52"/>
      <c r="K27" s="53"/>
    </row>
    <row r="28" spans="1:11" ht="14.25">
      <c r="A28" s="49" t="s">
        <v>349</v>
      </c>
      <c r="B28" s="50" t="s">
        <v>65</v>
      </c>
      <c r="C28" s="50" t="s">
        <v>66</v>
      </c>
      <c r="D28" s="50" t="s">
        <v>56</v>
      </c>
      <c r="E28" s="66">
        <f>12</f>
        <v>12</v>
      </c>
      <c r="F28" s="51">
        <f>'Phan tich don gia'!G95</f>
        <v>4416000</v>
      </c>
      <c r="G28" s="51">
        <f>'Phan tich don gia'!G97</f>
        <v>411086</v>
      </c>
      <c r="H28" s="51">
        <f>'Phan tich don gia'!G99</f>
        <v>216825.93</v>
      </c>
      <c r="I28" s="52">
        <f>E28*F28</f>
        <v>52992000</v>
      </c>
      <c r="J28" s="52">
        <f>E28*G28</f>
        <v>4933032</v>
      </c>
      <c r="K28" s="53">
        <f>E28*H28</f>
        <v>2601911.16</v>
      </c>
    </row>
    <row r="29" spans="1:11" ht="14.25">
      <c r="A29" s="49" t="s">
        <v>0</v>
      </c>
      <c r="B29" s="50" t="s">
        <v>0</v>
      </c>
      <c r="C29" s="50" t="s">
        <v>348</v>
      </c>
      <c r="D29" s="50" t="s">
        <v>0</v>
      </c>
      <c r="E29" s="66"/>
      <c r="F29" s="51"/>
      <c r="G29" s="51"/>
      <c r="H29" s="51"/>
      <c r="I29" s="52"/>
      <c r="J29" s="52"/>
      <c r="K29" s="53"/>
    </row>
    <row r="30" spans="1:11" ht="14.25">
      <c r="A30" s="49" t="s">
        <v>347</v>
      </c>
      <c r="B30" s="50" t="s">
        <v>69</v>
      </c>
      <c r="C30" s="50" t="s">
        <v>70</v>
      </c>
      <c r="D30" s="50" t="s">
        <v>71</v>
      </c>
      <c r="E30" s="66">
        <f>75</f>
        <v>75</v>
      </c>
      <c r="F30" s="51">
        <f>'Phan tich don gia'!G103</f>
        <v>1455741</v>
      </c>
      <c r="G30" s="51">
        <f>'Phan tich don gia'!G106</f>
        <v>189150</v>
      </c>
      <c r="H30" s="51">
        <f>'Phan tich don gia'!G108</f>
        <v>257774.808</v>
      </c>
      <c r="I30" s="52">
        <f>E30*F30</f>
        <v>109180575</v>
      </c>
      <c r="J30" s="52">
        <f>E30*G30</f>
        <v>14186250</v>
      </c>
      <c r="K30" s="53">
        <f>E30*H30</f>
        <v>19333110.599999998</v>
      </c>
    </row>
    <row r="31" spans="1:11" ht="14.25">
      <c r="A31" s="49" t="s">
        <v>0</v>
      </c>
      <c r="B31" s="50" t="s">
        <v>0</v>
      </c>
      <c r="C31" s="50" t="s">
        <v>346</v>
      </c>
      <c r="D31" s="50" t="s">
        <v>0</v>
      </c>
      <c r="E31" s="66"/>
      <c r="F31" s="51"/>
      <c r="G31" s="51"/>
      <c r="H31" s="51"/>
      <c r="I31" s="52"/>
      <c r="J31" s="52"/>
      <c r="K31" s="53"/>
    </row>
    <row r="32" spans="1:11" ht="14.25">
      <c r="A32" s="49" t="s">
        <v>345</v>
      </c>
      <c r="B32" s="50" t="s">
        <v>78</v>
      </c>
      <c r="C32" s="50" t="s">
        <v>79</v>
      </c>
      <c r="D32" s="50" t="s">
        <v>71</v>
      </c>
      <c r="E32" s="66">
        <f>4</f>
        <v>4</v>
      </c>
      <c r="F32" s="51">
        <f>'Phan tich don gia'!G112</f>
        <v>1537819</v>
      </c>
      <c r="G32" s="51">
        <f>'Phan tich don gia'!G115</f>
        <v>189150</v>
      </c>
      <c r="H32" s="51">
        <f>'Phan tich don gia'!G117</f>
        <v>257774.808</v>
      </c>
      <c r="I32" s="52">
        <f>E32*F32</f>
        <v>6151276</v>
      </c>
      <c r="J32" s="52">
        <f>E32*G32</f>
        <v>756600</v>
      </c>
      <c r="K32" s="53">
        <f>E32*H32</f>
        <v>1031099.232</v>
      </c>
    </row>
    <row r="33" spans="1:11" ht="14.25">
      <c r="A33" s="49" t="s">
        <v>0</v>
      </c>
      <c r="B33" s="50" t="s">
        <v>0</v>
      </c>
      <c r="C33" s="50" t="s">
        <v>321</v>
      </c>
      <c r="D33" s="50" t="s">
        <v>0</v>
      </c>
      <c r="E33" s="66"/>
      <c r="F33" s="51"/>
      <c r="G33" s="51"/>
      <c r="H33" s="51"/>
      <c r="I33" s="52"/>
      <c r="J33" s="52"/>
      <c r="K33" s="53"/>
    </row>
    <row r="34" spans="1:11" ht="14.25">
      <c r="A34" s="49" t="s">
        <v>344</v>
      </c>
      <c r="B34" s="50" t="s">
        <v>82</v>
      </c>
      <c r="C34" s="50" t="s">
        <v>83</v>
      </c>
      <c r="D34" s="50" t="s">
        <v>71</v>
      </c>
      <c r="E34" s="66">
        <f>7</f>
        <v>7</v>
      </c>
      <c r="F34" s="51">
        <f>'Phan tich don gia'!G121</f>
        <v>1632018</v>
      </c>
      <c r="G34" s="51">
        <f>'Phan tich don gia'!G124</f>
        <v>189150</v>
      </c>
      <c r="H34" s="51">
        <f>'Phan tich don gia'!G126</f>
        <v>257774.808</v>
      </c>
      <c r="I34" s="52">
        <f>E34*F34</f>
        <v>11424126</v>
      </c>
      <c r="J34" s="52">
        <f>E34*G34</f>
        <v>1324050</v>
      </c>
      <c r="K34" s="53">
        <f>E34*H34</f>
        <v>1804423.656</v>
      </c>
    </row>
    <row r="35" spans="1:11" ht="14.25">
      <c r="A35" s="49" t="s">
        <v>0</v>
      </c>
      <c r="B35" s="50" t="s">
        <v>0</v>
      </c>
      <c r="C35" s="50" t="s">
        <v>343</v>
      </c>
      <c r="D35" s="50" t="s">
        <v>0</v>
      </c>
      <c r="E35" s="66"/>
      <c r="F35" s="51"/>
      <c r="G35" s="51"/>
      <c r="H35" s="51"/>
      <c r="I35" s="52"/>
      <c r="J35" s="52"/>
      <c r="K35" s="53"/>
    </row>
    <row r="36" spans="1:11" ht="14.25">
      <c r="A36" s="49" t="s">
        <v>342</v>
      </c>
      <c r="B36" s="50" t="s">
        <v>86</v>
      </c>
      <c r="C36" s="50" t="s">
        <v>87</v>
      </c>
      <c r="D36" s="50" t="s">
        <v>88</v>
      </c>
      <c r="E36" s="66">
        <f>86</f>
        <v>86</v>
      </c>
      <c r="F36" s="51">
        <f>'Phan tich don gia'!G130</f>
        <v>5600468</v>
      </c>
      <c r="G36" s="51">
        <f>'Phan tich don gia'!G132</f>
        <v>65572</v>
      </c>
      <c r="H36" s="51">
        <f>'Phan tich don gia'!G134</f>
        <v>197121.912</v>
      </c>
      <c r="I36" s="52">
        <f>E36*F36</f>
        <v>481640248</v>
      </c>
      <c r="J36" s="52">
        <f>E36*G36</f>
        <v>5639192</v>
      </c>
      <c r="K36" s="53">
        <f>E36*H36</f>
        <v>16952484.432</v>
      </c>
    </row>
    <row r="37" spans="1:11" ht="14.25">
      <c r="A37" s="49" t="s">
        <v>0</v>
      </c>
      <c r="B37" s="50" t="s">
        <v>0</v>
      </c>
      <c r="C37" s="50" t="s">
        <v>341</v>
      </c>
      <c r="D37" s="50" t="s">
        <v>0</v>
      </c>
      <c r="E37" s="66"/>
      <c r="F37" s="51"/>
      <c r="G37" s="51"/>
      <c r="H37" s="51"/>
      <c r="I37" s="52"/>
      <c r="J37" s="52"/>
      <c r="K37" s="53"/>
    </row>
    <row r="38" spans="1:11" ht="14.25">
      <c r="A38" s="49" t="s">
        <v>340</v>
      </c>
      <c r="B38" s="50" t="s">
        <v>91</v>
      </c>
      <c r="C38" s="50" t="s">
        <v>92</v>
      </c>
      <c r="D38" s="50" t="s">
        <v>93</v>
      </c>
      <c r="E38" s="66">
        <f>2</f>
        <v>2</v>
      </c>
      <c r="F38" s="51">
        <f>'Phan tich don gia'!G138</f>
        <v>18248206</v>
      </c>
      <c r="G38" s="51">
        <f>'Phan tich don gia'!G142</f>
        <v>385866</v>
      </c>
      <c r="H38" s="51"/>
      <c r="I38" s="52">
        <f>E38*F38</f>
        <v>36496412</v>
      </c>
      <c r="J38" s="52">
        <f>E38*G38</f>
        <v>771732</v>
      </c>
      <c r="K38" s="53">
        <f>E38*H38</f>
        <v>0</v>
      </c>
    </row>
    <row r="39" spans="1:11" ht="14.25">
      <c r="A39" s="49" t="s">
        <v>0</v>
      </c>
      <c r="B39" s="50" t="s">
        <v>0</v>
      </c>
      <c r="C39" s="50" t="s">
        <v>326</v>
      </c>
      <c r="D39" s="50" t="s">
        <v>0</v>
      </c>
      <c r="E39" s="66"/>
      <c r="F39" s="51"/>
      <c r="G39" s="51"/>
      <c r="H39" s="51"/>
      <c r="I39" s="52"/>
      <c r="J39" s="52"/>
      <c r="K39" s="53"/>
    </row>
    <row r="40" spans="1:11" ht="14.25">
      <c r="A40" s="49" t="s">
        <v>339</v>
      </c>
      <c r="B40" s="50" t="s">
        <v>98</v>
      </c>
      <c r="C40" s="50" t="s">
        <v>99</v>
      </c>
      <c r="D40" s="50" t="s">
        <v>88</v>
      </c>
      <c r="E40" s="66">
        <f>6</f>
        <v>6</v>
      </c>
      <c r="F40" s="51">
        <f>'Phan tich don gia'!G146</f>
        <v>98506.4856</v>
      </c>
      <c r="G40" s="51">
        <f>'Phan tich don gia'!G150</f>
        <v>83226</v>
      </c>
      <c r="H40" s="51">
        <f>'Phan tich don gia'!G152</f>
        <v>350273.85</v>
      </c>
      <c r="I40" s="52">
        <f>E40*F40</f>
        <v>591038.9136</v>
      </c>
      <c r="J40" s="52">
        <f>E40*G40</f>
        <v>499356</v>
      </c>
      <c r="K40" s="53">
        <f>E40*H40</f>
        <v>2101643.0999999996</v>
      </c>
    </row>
    <row r="41" spans="1:11" ht="14.25">
      <c r="A41" s="49" t="s">
        <v>0</v>
      </c>
      <c r="B41" s="50" t="s">
        <v>0</v>
      </c>
      <c r="C41" s="50" t="s">
        <v>319</v>
      </c>
      <c r="D41" s="50" t="s">
        <v>0</v>
      </c>
      <c r="E41" s="66"/>
      <c r="F41" s="51"/>
      <c r="G41" s="51"/>
      <c r="H41" s="51"/>
      <c r="I41" s="52"/>
      <c r="J41" s="52"/>
      <c r="K41" s="53"/>
    </row>
    <row r="42" spans="1:11" ht="14.25">
      <c r="A42" s="49" t="s">
        <v>338</v>
      </c>
      <c r="B42" s="50" t="s">
        <v>107</v>
      </c>
      <c r="C42" s="50" t="s">
        <v>108</v>
      </c>
      <c r="D42" s="50" t="s">
        <v>109</v>
      </c>
      <c r="E42" s="66">
        <f>3302</f>
        <v>3302</v>
      </c>
      <c r="F42" s="51">
        <f>'Phan tich don gia'!G158</f>
        <v>43185</v>
      </c>
      <c r="G42" s="51">
        <f>'Phan tich don gia'!G160</f>
        <v>2471.56</v>
      </c>
      <c r="H42" s="51">
        <f>'Phan tich don gia'!G162</f>
        <v>3790.806</v>
      </c>
      <c r="I42" s="52">
        <f>E42*F42</f>
        <v>142596870</v>
      </c>
      <c r="J42" s="52">
        <f>E42*G42</f>
        <v>8161091.12</v>
      </c>
      <c r="K42" s="53">
        <f>E42*H42</f>
        <v>12517241.412</v>
      </c>
    </row>
    <row r="43" spans="1:11" ht="14.25">
      <c r="A43" s="49" t="s">
        <v>0</v>
      </c>
      <c r="B43" s="50" t="s">
        <v>0</v>
      </c>
      <c r="C43" s="50" t="s">
        <v>337</v>
      </c>
      <c r="D43" s="50" t="s">
        <v>0</v>
      </c>
      <c r="E43" s="66"/>
      <c r="F43" s="51"/>
      <c r="G43" s="51"/>
      <c r="H43" s="51"/>
      <c r="I43" s="52"/>
      <c r="J43" s="52"/>
      <c r="K43" s="53"/>
    </row>
    <row r="44" spans="1:11" ht="14.25">
      <c r="A44" s="49" t="s">
        <v>336</v>
      </c>
      <c r="B44" s="50" t="s">
        <v>113</v>
      </c>
      <c r="C44" s="50" t="s">
        <v>114</v>
      </c>
      <c r="D44" s="50" t="s">
        <v>109</v>
      </c>
      <c r="E44" s="66">
        <f>535</f>
        <v>535</v>
      </c>
      <c r="F44" s="51">
        <f>'Phan tich don gia'!G166</f>
        <v>22267</v>
      </c>
      <c r="G44" s="51">
        <f>'Phan tich don gia'!G168</f>
        <v>3278.6</v>
      </c>
      <c r="H44" s="51"/>
      <c r="I44" s="52">
        <f>E44*F44</f>
        <v>11912845</v>
      </c>
      <c r="J44" s="52">
        <f>E44*G44</f>
        <v>1754051</v>
      </c>
      <c r="K44" s="53">
        <f>E44*H44</f>
        <v>0</v>
      </c>
    </row>
    <row r="45" spans="1:11" ht="14.25">
      <c r="A45" s="49" t="s">
        <v>0</v>
      </c>
      <c r="B45" s="50" t="s">
        <v>0</v>
      </c>
      <c r="C45" s="50" t="s">
        <v>335</v>
      </c>
      <c r="D45" s="50" t="s">
        <v>0</v>
      </c>
      <c r="E45" s="66"/>
      <c r="F45" s="51"/>
      <c r="G45" s="51"/>
      <c r="H45" s="51"/>
      <c r="I45" s="52"/>
      <c r="J45" s="52"/>
      <c r="K45" s="53"/>
    </row>
    <row r="46" spans="1:11" ht="14.25">
      <c r="A46" s="49" t="s">
        <v>334</v>
      </c>
      <c r="B46" s="50" t="s">
        <v>117</v>
      </c>
      <c r="C46" s="50" t="s">
        <v>118</v>
      </c>
      <c r="D46" s="50" t="s">
        <v>119</v>
      </c>
      <c r="E46" s="66">
        <f>1</f>
        <v>1</v>
      </c>
      <c r="F46" s="51">
        <f>'Phan tich don gia'!G172</f>
        <v>256937.5</v>
      </c>
      <c r="G46" s="51"/>
      <c r="H46" s="51"/>
      <c r="I46" s="52">
        <f>E46*F46</f>
        <v>256937.5</v>
      </c>
      <c r="J46" s="52">
        <f>E46*G46</f>
        <v>0</v>
      </c>
      <c r="K46" s="53">
        <f>E46*H46</f>
        <v>0</v>
      </c>
    </row>
    <row r="47" spans="1:11" ht="14.25">
      <c r="A47" s="49" t="s">
        <v>0</v>
      </c>
      <c r="B47" s="50" t="s">
        <v>0</v>
      </c>
      <c r="C47" s="50" t="s">
        <v>333</v>
      </c>
      <c r="D47" s="50" t="s">
        <v>0</v>
      </c>
      <c r="E47" s="66"/>
      <c r="F47" s="51"/>
      <c r="G47" s="51"/>
      <c r="H47" s="51"/>
      <c r="I47" s="52"/>
      <c r="J47" s="52"/>
      <c r="K47" s="53"/>
    </row>
    <row r="48" spans="1:11" ht="14.25">
      <c r="A48" s="49" t="s">
        <v>332</v>
      </c>
      <c r="B48" s="50" t="s">
        <v>126</v>
      </c>
      <c r="C48" s="50" t="s">
        <v>127</v>
      </c>
      <c r="D48" s="50" t="s">
        <v>119</v>
      </c>
      <c r="E48" s="66">
        <f>2</f>
        <v>2</v>
      </c>
      <c r="F48" s="51">
        <f>'Phan tich don gia'!G179</f>
        <v>1822445</v>
      </c>
      <c r="G48" s="51"/>
      <c r="H48" s="51"/>
      <c r="I48" s="52">
        <f>E48*F48</f>
        <v>3644890</v>
      </c>
      <c r="J48" s="52">
        <f>E48*G48</f>
        <v>0</v>
      </c>
      <c r="K48" s="53">
        <f>E48*H48</f>
        <v>0</v>
      </c>
    </row>
    <row r="49" spans="1:11" ht="14.25">
      <c r="A49" s="49" t="s">
        <v>0</v>
      </c>
      <c r="B49" s="50" t="s">
        <v>0</v>
      </c>
      <c r="C49" s="50" t="s">
        <v>326</v>
      </c>
      <c r="D49" s="50" t="s">
        <v>0</v>
      </c>
      <c r="E49" s="66"/>
      <c r="F49" s="51"/>
      <c r="G49" s="51"/>
      <c r="H49" s="51"/>
      <c r="I49" s="52"/>
      <c r="J49" s="52"/>
      <c r="K49" s="53"/>
    </row>
    <row r="50" spans="1:11" ht="14.25">
      <c r="A50" s="49" t="s">
        <v>331</v>
      </c>
      <c r="B50" s="50" t="s">
        <v>132</v>
      </c>
      <c r="C50" s="50" t="s">
        <v>133</v>
      </c>
      <c r="D50" s="50" t="s">
        <v>73</v>
      </c>
      <c r="E50" s="66">
        <f>2</f>
        <v>2</v>
      </c>
      <c r="F50" s="51">
        <f>'Phan tich don gia'!G185</f>
        <v>129850</v>
      </c>
      <c r="G50" s="51"/>
      <c r="H50" s="51"/>
      <c r="I50" s="52">
        <f>E50*F50</f>
        <v>259700</v>
      </c>
      <c r="J50" s="52">
        <f>E50*G50</f>
        <v>0</v>
      </c>
      <c r="K50" s="53">
        <f>E50*H50</f>
        <v>0</v>
      </c>
    </row>
    <row r="51" spans="1:11" ht="14.25">
      <c r="A51" s="49" t="s">
        <v>0</v>
      </c>
      <c r="B51" s="50" t="s">
        <v>0</v>
      </c>
      <c r="C51" s="50" t="s">
        <v>326</v>
      </c>
      <c r="D51" s="50" t="s">
        <v>0</v>
      </c>
      <c r="E51" s="66"/>
      <c r="F51" s="51"/>
      <c r="G51" s="51"/>
      <c r="H51" s="51"/>
      <c r="I51" s="52"/>
      <c r="J51" s="52"/>
      <c r="K51" s="53"/>
    </row>
    <row r="52" spans="1:11" ht="14.25">
      <c r="A52" s="49" t="s">
        <v>330</v>
      </c>
      <c r="B52" s="50" t="s">
        <v>142</v>
      </c>
      <c r="C52" s="50" t="s">
        <v>143</v>
      </c>
      <c r="D52" s="50" t="s">
        <v>73</v>
      </c>
      <c r="E52" s="66">
        <f>53</f>
        <v>53</v>
      </c>
      <c r="F52" s="51">
        <f>'Phan tich don gia'!G194</f>
        <v>38091</v>
      </c>
      <c r="G52" s="51"/>
      <c r="H52" s="51"/>
      <c r="I52" s="52">
        <f>E52*F52</f>
        <v>2018823</v>
      </c>
      <c r="J52" s="52">
        <f>E52*G52</f>
        <v>0</v>
      </c>
      <c r="K52" s="53">
        <f>E52*H52</f>
        <v>0</v>
      </c>
    </row>
    <row r="53" spans="1:11" ht="14.25">
      <c r="A53" s="49" t="s">
        <v>0</v>
      </c>
      <c r="B53" s="50" t="s">
        <v>0</v>
      </c>
      <c r="C53" s="50" t="s">
        <v>329</v>
      </c>
      <c r="D53" s="50" t="s">
        <v>0</v>
      </c>
      <c r="E53" s="66"/>
      <c r="F53" s="51"/>
      <c r="G53" s="51"/>
      <c r="H53" s="51"/>
      <c r="I53" s="52"/>
      <c r="J53" s="52"/>
      <c r="K53" s="53"/>
    </row>
    <row r="54" spans="1:11" ht="14.25">
      <c r="A54" s="49" t="s">
        <v>328</v>
      </c>
      <c r="B54" s="50" t="s">
        <v>147</v>
      </c>
      <c r="C54" s="50" t="s">
        <v>148</v>
      </c>
      <c r="D54" s="50" t="s">
        <v>73</v>
      </c>
      <c r="E54" s="66">
        <f>6</f>
        <v>6</v>
      </c>
      <c r="F54" s="51">
        <f>'Phan tich don gia'!G199</f>
        <v>190060</v>
      </c>
      <c r="G54" s="51"/>
      <c r="H54" s="51"/>
      <c r="I54" s="52">
        <f>E54*F54</f>
        <v>1140360</v>
      </c>
      <c r="J54" s="52">
        <f>E54*G54</f>
        <v>0</v>
      </c>
      <c r="K54" s="53">
        <f>E54*H54</f>
        <v>0</v>
      </c>
    </row>
    <row r="55" spans="1:11" ht="14.25">
      <c r="A55" s="49" t="s">
        <v>0</v>
      </c>
      <c r="B55" s="50" t="s">
        <v>0</v>
      </c>
      <c r="C55" s="50" t="s">
        <v>319</v>
      </c>
      <c r="D55" s="50" t="s">
        <v>0</v>
      </c>
      <c r="E55" s="66"/>
      <c r="F55" s="51"/>
      <c r="G55" s="51"/>
      <c r="H55" s="51"/>
      <c r="I55" s="52"/>
      <c r="J55" s="52"/>
      <c r="K55" s="53"/>
    </row>
    <row r="56" spans="1:11" ht="14.25">
      <c r="A56" s="49" t="s">
        <v>327</v>
      </c>
      <c r="B56" s="50" t="s">
        <v>150</v>
      </c>
      <c r="C56" s="50" t="s">
        <v>151</v>
      </c>
      <c r="D56" s="50" t="s">
        <v>73</v>
      </c>
      <c r="E56" s="66">
        <f>2</f>
        <v>2</v>
      </c>
      <c r="F56" s="51">
        <f>'Phan tich don gia'!G206</f>
        <v>71861</v>
      </c>
      <c r="G56" s="51"/>
      <c r="H56" s="51"/>
      <c r="I56" s="52">
        <f>E56*F56</f>
        <v>143722</v>
      </c>
      <c r="J56" s="52">
        <f>E56*G56</f>
        <v>0</v>
      </c>
      <c r="K56" s="53">
        <f>E56*H56</f>
        <v>0</v>
      </c>
    </row>
    <row r="57" spans="1:11" ht="14.25">
      <c r="A57" s="49" t="s">
        <v>0</v>
      </c>
      <c r="B57" s="50" t="s">
        <v>0</v>
      </c>
      <c r="C57" s="50" t="s">
        <v>326</v>
      </c>
      <c r="D57" s="50" t="s">
        <v>0</v>
      </c>
      <c r="E57" s="66"/>
      <c r="F57" s="51"/>
      <c r="G57" s="51"/>
      <c r="H57" s="51"/>
      <c r="I57" s="52"/>
      <c r="J57" s="52"/>
      <c r="K57" s="53"/>
    </row>
    <row r="58" spans="1:11" ht="14.25">
      <c r="A58" s="49" t="s">
        <v>325</v>
      </c>
      <c r="B58" s="50" t="s">
        <v>154</v>
      </c>
      <c r="C58" s="50" t="s">
        <v>155</v>
      </c>
      <c r="D58" s="50" t="s">
        <v>73</v>
      </c>
      <c r="E58" s="66">
        <f>14</f>
        <v>14</v>
      </c>
      <c r="F58" s="51">
        <f>'Phan tich don gia'!G212</f>
        <v>38091</v>
      </c>
      <c r="G58" s="51"/>
      <c r="H58" s="51"/>
      <c r="I58" s="52">
        <f>E58*F58</f>
        <v>533274</v>
      </c>
      <c r="J58" s="52">
        <f>E58*G58</f>
        <v>0</v>
      </c>
      <c r="K58" s="53">
        <f>E58*H58</f>
        <v>0</v>
      </c>
    </row>
    <row r="59" spans="1:11" ht="14.25">
      <c r="A59" s="49" t="s">
        <v>0</v>
      </c>
      <c r="B59" s="50" t="s">
        <v>0</v>
      </c>
      <c r="C59" s="50" t="s">
        <v>324</v>
      </c>
      <c r="D59" s="50" t="s">
        <v>0</v>
      </c>
      <c r="E59" s="66"/>
      <c r="F59" s="51"/>
      <c r="G59" s="51"/>
      <c r="H59" s="51"/>
      <c r="I59" s="52"/>
      <c r="J59" s="52"/>
      <c r="K59" s="53"/>
    </row>
    <row r="60" spans="1:11" ht="14.25">
      <c r="A60" s="49" t="s">
        <v>323</v>
      </c>
      <c r="B60" s="50" t="s">
        <v>157</v>
      </c>
      <c r="C60" s="50" t="s">
        <v>158</v>
      </c>
      <c r="D60" s="50" t="s">
        <v>73</v>
      </c>
      <c r="E60" s="66">
        <f>4</f>
        <v>4</v>
      </c>
      <c r="F60" s="51">
        <f>'Phan tich don gia'!G217</f>
        <v>188780</v>
      </c>
      <c r="G60" s="51"/>
      <c r="H60" s="51"/>
      <c r="I60" s="52">
        <f>E60*F60</f>
        <v>755120</v>
      </c>
      <c r="J60" s="52">
        <f>E60*G60</f>
        <v>0</v>
      </c>
      <c r="K60" s="53">
        <f>E60*H60</f>
        <v>0</v>
      </c>
    </row>
    <row r="61" spans="1:11" ht="14.25">
      <c r="A61" s="49" t="s">
        <v>0</v>
      </c>
      <c r="B61" s="50" t="s">
        <v>0</v>
      </c>
      <c r="C61" s="50" t="s">
        <v>321</v>
      </c>
      <c r="D61" s="50" t="s">
        <v>0</v>
      </c>
      <c r="E61" s="66"/>
      <c r="F61" s="51"/>
      <c r="G61" s="51"/>
      <c r="H61" s="51"/>
      <c r="I61" s="52"/>
      <c r="J61" s="52"/>
      <c r="K61" s="53"/>
    </row>
    <row r="62" spans="1:11" ht="14.25">
      <c r="A62" s="49" t="s">
        <v>322</v>
      </c>
      <c r="B62" s="50" t="s">
        <v>160</v>
      </c>
      <c r="C62" s="50" t="s">
        <v>161</v>
      </c>
      <c r="D62" s="50" t="s">
        <v>73</v>
      </c>
      <c r="E62" s="66">
        <f>4</f>
        <v>4</v>
      </c>
      <c r="F62" s="51">
        <f>'Phan tich don gia'!G223</f>
        <v>71861</v>
      </c>
      <c r="G62" s="51"/>
      <c r="H62" s="51"/>
      <c r="I62" s="52">
        <f>E62*F62</f>
        <v>287444</v>
      </c>
      <c r="J62" s="52">
        <f>E62*G62</f>
        <v>0</v>
      </c>
      <c r="K62" s="53">
        <f>E62*H62</f>
        <v>0</v>
      </c>
    </row>
    <row r="63" spans="1:11" ht="14.25">
      <c r="A63" s="49" t="s">
        <v>0</v>
      </c>
      <c r="B63" s="50" t="s">
        <v>0</v>
      </c>
      <c r="C63" s="50" t="s">
        <v>321</v>
      </c>
      <c r="D63" s="50" t="s">
        <v>0</v>
      </c>
      <c r="E63" s="66"/>
      <c r="F63" s="51"/>
      <c r="G63" s="51"/>
      <c r="H63" s="51"/>
      <c r="I63" s="52"/>
      <c r="J63" s="52"/>
      <c r="K63" s="53"/>
    </row>
    <row r="64" spans="1:11" ht="14.25">
      <c r="A64" s="49" t="s">
        <v>320</v>
      </c>
      <c r="B64" s="50" t="s">
        <v>163</v>
      </c>
      <c r="C64" s="50" t="s">
        <v>164</v>
      </c>
      <c r="D64" s="50" t="s">
        <v>73</v>
      </c>
      <c r="E64" s="66">
        <f>6</f>
        <v>6</v>
      </c>
      <c r="F64" s="51">
        <f>'Phan tich don gia'!G229</f>
        <v>216860</v>
      </c>
      <c r="G64" s="51"/>
      <c r="H64" s="51"/>
      <c r="I64" s="52">
        <f>E64*F64</f>
        <v>1301160</v>
      </c>
      <c r="J64" s="52">
        <f>E64*G64</f>
        <v>0</v>
      </c>
      <c r="K64" s="53">
        <f>E64*H64</f>
        <v>0</v>
      </c>
    </row>
    <row r="65" spans="1:11" ht="14.25">
      <c r="A65" s="49" t="s">
        <v>0</v>
      </c>
      <c r="B65" s="50" t="s">
        <v>0</v>
      </c>
      <c r="C65" s="50" t="s">
        <v>319</v>
      </c>
      <c r="D65" s="50" t="s">
        <v>0</v>
      </c>
      <c r="E65" s="66"/>
      <c r="F65" s="51"/>
      <c r="G65" s="51"/>
      <c r="H65" s="51"/>
      <c r="I65" s="52"/>
      <c r="J65" s="52"/>
      <c r="K65" s="53"/>
    </row>
    <row r="66" spans="1:11" ht="14.25">
      <c r="A66" s="49" t="s">
        <v>318</v>
      </c>
      <c r="B66" s="50" t="s">
        <v>166</v>
      </c>
      <c r="C66" s="50" t="s">
        <v>167</v>
      </c>
      <c r="D66" s="50" t="s">
        <v>75</v>
      </c>
      <c r="E66" s="66">
        <f>172</f>
        <v>172</v>
      </c>
      <c r="F66" s="51">
        <f>'Phan tich don gia'!G235</f>
        <v>54300</v>
      </c>
      <c r="G66" s="51"/>
      <c r="H66" s="51"/>
      <c r="I66" s="52">
        <f>E66*F66</f>
        <v>9339600</v>
      </c>
      <c r="J66" s="52">
        <f>E66*G66</f>
        <v>0</v>
      </c>
      <c r="K66" s="53">
        <f>E66*H66</f>
        <v>0</v>
      </c>
    </row>
    <row r="67" spans="1:11" ht="14.25">
      <c r="A67" s="49" t="s">
        <v>0</v>
      </c>
      <c r="B67" s="50" t="s">
        <v>0</v>
      </c>
      <c r="C67" s="50" t="s">
        <v>317</v>
      </c>
      <c r="D67" s="50" t="s">
        <v>0</v>
      </c>
      <c r="E67" s="66"/>
      <c r="F67" s="51"/>
      <c r="G67" s="51"/>
      <c r="H67" s="51"/>
      <c r="I67" s="52"/>
      <c r="J67" s="52"/>
      <c r="K67" s="53"/>
    </row>
    <row r="68" spans="1:11" ht="14.25">
      <c r="A68" s="49" t="s">
        <v>316</v>
      </c>
      <c r="B68" s="50" t="s">
        <v>170</v>
      </c>
      <c r="C68" s="50" t="s">
        <v>171</v>
      </c>
      <c r="D68" s="50" t="s">
        <v>58</v>
      </c>
      <c r="E68" s="66">
        <f>74</f>
        <v>74</v>
      </c>
      <c r="F68" s="51">
        <f>'Phan tich don gia'!G239</f>
        <v>50000</v>
      </c>
      <c r="G68" s="51"/>
      <c r="H68" s="51"/>
      <c r="I68" s="52">
        <f>E68*F68</f>
        <v>3700000</v>
      </c>
      <c r="J68" s="52">
        <f>E68*G68</f>
        <v>0</v>
      </c>
      <c r="K68" s="53">
        <f>E68*H68</f>
        <v>0</v>
      </c>
    </row>
    <row r="69" spans="1:11" ht="14.25">
      <c r="A69" s="49" t="s">
        <v>0</v>
      </c>
      <c r="B69" s="50" t="s">
        <v>0</v>
      </c>
      <c r="C69" s="50" t="s">
        <v>315</v>
      </c>
      <c r="D69" s="50" t="s">
        <v>0</v>
      </c>
      <c r="E69" s="66"/>
      <c r="F69" s="51"/>
      <c r="G69" s="51"/>
      <c r="H69" s="51"/>
      <c r="I69" s="52"/>
      <c r="J69" s="52"/>
      <c r="K69" s="53"/>
    </row>
    <row r="70" spans="1:11" ht="14.25">
      <c r="A70" s="49" t="s">
        <v>314</v>
      </c>
      <c r="B70" s="50" t="s">
        <v>546</v>
      </c>
      <c r="C70" s="50" t="s">
        <v>547</v>
      </c>
      <c r="D70" s="50" t="s">
        <v>548</v>
      </c>
      <c r="E70" s="66">
        <v>6</v>
      </c>
      <c r="F70" s="51">
        <f>'Phan tich don gia'!G318</f>
        <v>212400</v>
      </c>
      <c r="G70" s="51">
        <f>'Phan tich don gia'!G320</f>
        <v>181207.8</v>
      </c>
      <c r="H70" s="51">
        <f>'Phan tich don gia'!G322</f>
        <v>18916.29</v>
      </c>
      <c r="I70" s="52">
        <f>E70*F70</f>
        <v>1274400</v>
      </c>
      <c r="J70" s="52">
        <f>E70*G70</f>
        <v>1087246.7999999998</v>
      </c>
      <c r="K70" s="53">
        <f>E70*H70</f>
        <v>113497.74</v>
      </c>
    </row>
    <row r="71" spans="1:11" ht="14.25" hidden="1">
      <c r="A71" s="49" t="s">
        <v>0</v>
      </c>
      <c r="B71" s="50" t="s">
        <v>0</v>
      </c>
      <c r="C71" s="50"/>
      <c r="D71" s="50" t="s">
        <v>0</v>
      </c>
      <c r="E71" s="66"/>
      <c r="F71" s="51"/>
      <c r="G71" s="51"/>
      <c r="H71" s="51"/>
      <c r="I71" s="52"/>
      <c r="J71" s="52"/>
      <c r="K71" s="53"/>
    </row>
    <row r="72" spans="1:11" ht="14.25" hidden="1">
      <c r="A72" s="49" t="s">
        <v>0</v>
      </c>
      <c r="B72" s="50" t="s">
        <v>0</v>
      </c>
      <c r="C72" s="50" t="s">
        <v>0</v>
      </c>
      <c r="D72" s="50" t="s">
        <v>0</v>
      </c>
      <c r="E72" s="66"/>
      <c r="F72" s="51"/>
      <c r="G72" s="51"/>
      <c r="H72" s="51"/>
      <c r="I72" s="52"/>
      <c r="J72" s="52"/>
      <c r="K72" s="53"/>
    </row>
    <row r="73" spans="1:11" ht="14.25" hidden="1">
      <c r="A73" s="49" t="s">
        <v>0</v>
      </c>
      <c r="B73" s="50" t="s">
        <v>0</v>
      </c>
      <c r="C73" s="50" t="s">
        <v>0</v>
      </c>
      <c r="D73" s="50" t="s">
        <v>0</v>
      </c>
      <c r="E73" s="66"/>
      <c r="F73" s="51"/>
      <c r="G73" s="51"/>
      <c r="H73" s="51"/>
      <c r="I73" s="52"/>
      <c r="J73" s="52"/>
      <c r="K73" s="53"/>
    </row>
    <row r="74" spans="1:11" ht="14.25" hidden="1">
      <c r="A74" s="49" t="s">
        <v>0</v>
      </c>
      <c r="B74" s="50" t="s">
        <v>0</v>
      </c>
      <c r="C74" s="50" t="s">
        <v>0</v>
      </c>
      <c r="D74" s="50" t="s">
        <v>0</v>
      </c>
      <c r="E74" s="66"/>
      <c r="F74" s="51"/>
      <c r="G74" s="51"/>
      <c r="H74" s="51"/>
      <c r="I74" s="52"/>
      <c r="J74" s="52"/>
      <c r="K74" s="53"/>
    </row>
    <row r="75" spans="1:11" ht="14.25" hidden="1">
      <c r="A75" s="49" t="s">
        <v>0</v>
      </c>
      <c r="B75" s="50" t="s">
        <v>0</v>
      </c>
      <c r="C75" s="50" t="s">
        <v>0</v>
      </c>
      <c r="D75" s="50" t="s">
        <v>0</v>
      </c>
      <c r="E75" s="66"/>
      <c r="F75" s="51"/>
      <c r="G75" s="51"/>
      <c r="H75" s="51"/>
      <c r="I75" s="52"/>
      <c r="J75" s="52"/>
      <c r="K75" s="53"/>
    </row>
    <row r="76" spans="1:11" ht="14.25" hidden="1">
      <c r="A76" s="49" t="s">
        <v>0</v>
      </c>
      <c r="B76" s="50" t="s">
        <v>0</v>
      </c>
      <c r="C76" s="50" t="s">
        <v>0</v>
      </c>
      <c r="D76" s="50" t="s">
        <v>0</v>
      </c>
      <c r="E76" s="66"/>
      <c r="F76" s="51"/>
      <c r="G76" s="51"/>
      <c r="H76" s="51"/>
      <c r="I76" s="52"/>
      <c r="J76" s="52"/>
      <c r="K76" s="53"/>
    </row>
    <row r="77" spans="1:11" ht="14.25" hidden="1">
      <c r="A77" s="49" t="s">
        <v>0</v>
      </c>
      <c r="B77" s="50" t="s">
        <v>0</v>
      </c>
      <c r="C77" s="50" t="s">
        <v>0</v>
      </c>
      <c r="D77" s="50" t="s">
        <v>0</v>
      </c>
      <c r="E77" s="66"/>
      <c r="F77" s="51"/>
      <c r="G77" s="51"/>
      <c r="H77" s="51"/>
      <c r="I77" s="52"/>
      <c r="J77" s="52"/>
      <c r="K77" s="53"/>
    </row>
    <row r="78" spans="1:11" ht="14.25" hidden="1">
      <c r="A78" s="49" t="s">
        <v>0</v>
      </c>
      <c r="B78" s="50" t="s">
        <v>0</v>
      </c>
      <c r="C78" s="50" t="s">
        <v>0</v>
      </c>
      <c r="D78" s="50" t="s">
        <v>0</v>
      </c>
      <c r="E78" s="66"/>
      <c r="F78" s="51"/>
      <c r="G78" s="51"/>
      <c r="H78" s="51"/>
      <c r="I78" s="52"/>
      <c r="J78" s="52"/>
      <c r="K78" s="53"/>
    </row>
    <row r="79" spans="1:11" ht="14.25" hidden="1">
      <c r="A79" s="49" t="s">
        <v>0</v>
      </c>
      <c r="B79" s="50" t="s">
        <v>0</v>
      </c>
      <c r="C79" s="50" t="s">
        <v>0</v>
      </c>
      <c r="D79" s="50" t="s">
        <v>0</v>
      </c>
      <c r="E79" s="66"/>
      <c r="F79" s="51"/>
      <c r="G79" s="51"/>
      <c r="H79" s="51"/>
      <c r="I79" s="52"/>
      <c r="J79" s="52"/>
      <c r="K79" s="53"/>
    </row>
    <row r="80" spans="1:11" ht="14.25" hidden="1">
      <c r="A80" s="49" t="s">
        <v>0</v>
      </c>
      <c r="B80" s="50" t="s">
        <v>0</v>
      </c>
      <c r="C80" s="50" t="s">
        <v>0</v>
      </c>
      <c r="D80" s="50" t="s">
        <v>0</v>
      </c>
      <c r="E80" s="66"/>
      <c r="F80" s="51"/>
      <c r="G80" s="51"/>
      <c r="H80" s="51"/>
      <c r="I80" s="52"/>
      <c r="J80" s="52"/>
      <c r="K80" s="53"/>
    </row>
    <row r="81" spans="1:11" ht="14.25" hidden="1">
      <c r="A81" s="49" t="s">
        <v>0</v>
      </c>
      <c r="B81" s="50" t="s">
        <v>0</v>
      </c>
      <c r="C81" s="50" t="s">
        <v>0</v>
      </c>
      <c r="D81" s="50" t="s">
        <v>0</v>
      </c>
      <c r="E81" s="66"/>
      <c r="F81" s="51"/>
      <c r="G81" s="51"/>
      <c r="H81" s="51"/>
      <c r="I81" s="52"/>
      <c r="J81" s="52"/>
      <c r="K81" s="53"/>
    </row>
    <row r="82" spans="1:11" ht="15" thickBot="1">
      <c r="A82" s="54" t="s">
        <v>0</v>
      </c>
      <c r="B82" s="55" t="s">
        <v>0</v>
      </c>
      <c r="C82" s="55" t="s">
        <v>0</v>
      </c>
      <c r="D82" s="55" t="s">
        <v>0</v>
      </c>
      <c r="E82" s="67"/>
      <c r="F82" s="56"/>
      <c r="G82" s="56"/>
      <c r="H82" s="56"/>
      <c r="I82" s="57"/>
      <c r="J82" s="57"/>
      <c r="K82" s="58"/>
    </row>
  </sheetData>
  <sheetProtection/>
  <mergeCells count="11">
    <mergeCell ref="A1:K1"/>
    <mergeCell ref="A3:K3"/>
    <mergeCell ref="A4:K4"/>
    <mergeCell ref="A5:K5"/>
    <mergeCell ref="A7:A8"/>
    <mergeCell ref="B7:B8"/>
    <mergeCell ref="C7:C8"/>
    <mergeCell ref="D7:D8"/>
    <mergeCell ref="E7:E8"/>
    <mergeCell ref="F7:H7"/>
    <mergeCell ref="I7:K7"/>
  </mergeCells>
  <printOptions horizontalCentered="1"/>
  <pageMargins left="0.4" right="0.2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5"/>
  <sheetViews>
    <sheetView showZeros="0" zoomScalePageLayoutView="0" workbookViewId="0" topLeftCell="A139">
      <selection activeCell="C342" sqref="C342"/>
    </sheetView>
  </sheetViews>
  <sheetFormatPr defaultColWidth="8.796875" defaultRowHeight="15"/>
  <cols>
    <col min="1" max="1" width="3.59765625" style="6" customWidth="1"/>
    <col min="2" max="2" width="11.09765625" style="6" customWidth="1"/>
    <col min="3" max="3" width="36.5" style="6" customWidth="1"/>
    <col min="4" max="4" width="5.19921875" style="6" customWidth="1"/>
    <col min="5" max="5" width="10.09765625" style="72" customWidth="1"/>
    <col min="6" max="7" width="11.8984375" style="73" bestFit="1" customWidth="1"/>
    <col min="8" max="16384" width="9" style="6" customWidth="1"/>
  </cols>
  <sheetData>
    <row r="1" spans="1:7" ht="21">
      <c r="A1" s="251" t="s">
        <v>497</v>
      </c>
      <c r="B1" s="251"/>
      <c r="C1" s="251"/>
      <c r="D1" s="251"/>
      <c r="E1" s="251"/>
      <c r="F1" s="251"/>
      <c r="G1" s="251"/>
    </row>
    <row r="2" spans="1:7" ht="15.75">
      <c r="A2" s="2"/>
      <c r="B2" s="2"/>
      <c r="C2" s="2"/>
      <c r="D2" s="2"/>
      <c r="E2" s="86"/>
      <c r="F2" s="1"/>
      <c r="G2" s="1"/>
    </row>
    <row r="3" spans="1:7" s="39" customFormat="1" ht="16.5">
      <c r="A3" s="250" t="s">
        <v>477</v>
      </c>
      <c r="B3" s="250"/>
      <c r="C3" s="250"/>
      <c r="D3" s="250"/>
      <c r="E3" s="250"/>
      <c r="F3" s="250"/>
      <c r="G3" s="250"/>
    </row>
    <row r="4" spans="1:7" s="39" customFormat="1" ht="16.5">
      <c r="A4" s="250" t="s">
        <v>478</v>
      </c>
      <c r="B4" s="250"/>
      <c r="C4" s="250"/>
      <c r="D4" s="250"/>
      <c r="E4" s="250"/>
      <c r="F4" s="250"/>
      <c r="G4" s="250"/>
    </row>
    <row r="5" spans="1:7" s="39" customFormat="1" ht="16.5">
      <c r="A5" s="250"/>
      <c r="B5" s="250"/>
      <c r="C5" s="250"/>
      <c r="D5" s="250"/>
      <c r="E5" s="250"/>
      <c r="F5" s="250"/>
      <c r="G5" s="250"/>
    </row>
    <row r="6" spans="1:7" ht="16.5" thickBot="1">
      <c r="A6" s="2"/>
      <c r="B6" s="2"/>
      <c r="C6" s="2"/>
      <c r="D6" s="2"/>
      <c r="E6" s="86"/>
      <c r="F6" s="1"/>
      <c r="G6" s="1"/>
    </row>
    <row r="7" spans="1:7" ht="45" customHeight="1">
      <c r="A7" s="34" t="s">
        <v>275</v>
      </c>
      <c r="B7" s="36" t="s">
        <v>498</v>
      </c>
      <c r="C7" s="35" t="s">
        <v>490</v>
      </c>
      <c r="D7" s="36" t="s">
        <v>499</v>
      </c>
      <c r="E7" s="87" t="s">
        <v>500</v>
      </c>
      <c r="F7" s="88" t="s">
        <v>488</v>
      </c>
      <c r="G7" s="89" t="s">
        <v>486</v>
      </c>
    </row>
    <row r="8" spans="1:7" ht="15">
      <c r="A8" s="81" t="s">
        <v>2</v>
      </c>
      <c r="B8" s="82" t="s">
        <v>3</v>
      </c>
      <c r="C8" s="82" t="s">
        <v>4</v>
      </c>
      <c r="D8" s="82" t="s">
        <v>5</v>
      </c>
      <c r="E8" s="83"/>
      <c r="F8" s="84"/>
      <c r="G8" s="85"/>
    </row>
    <row r="9" spans="1:7" ht="15">
      <c r="A9" s="12" t="s">
        <v>0</v>
      </c>
      <c r="B9" s="13" t="s">
        <v>0</v>
      </c>
      <c r="C9" s="13" t="s">
        <v>6</v>
      </c>
      <c r="D9" s="13" t="s">
        <v>0</v>
      </c>
      <c r="E9" s="74"/>
      <c r="F9" s="75"/>
      <c r="G9" s="76"/>
    </row>
    <row r="10" spans="1:7" ht="15.75">
      <c r="A10" s="12" t="s">
        <v>0</v>
      </c>
      <c r="B10" s="13" t="s">
        <v>0</v>
      </c>
      <c r="C10" s="13" t="s">
        <v>367</v>
      </c>
      <c r="D10" s="13" t="s">
        <v>0</v>
      </c>
      <c r="E10" s="74"/>
      <c r="F10" s="75"/>
      <c r="G10" s="77">
        <f>ROUND(SUM(G11:G11),5)</f>
        <v>10075.57912</v>
      </c>
    </row>
    <row r="11" spans="1:7" ht="15">
      <c r="A11" s="12" t="s">
        <v>0</v>
      </c>
      <c r="B11" s="13" t="s">
        <v>0</v>
      </c>
      <c r="C11" s="13" t="s">
        <v>7</v>
      </c>
      <c r="D11" s="13" t="s">
        <v>8</v>
      </c>
      <c r="E11" s="74">
        <f>0.0461</f>
        <v>0.0461</v>
      </c>
      <c r="F11" s="75">
        <f>'Gia NC,CM'!P8</f>
        <v>218559.2</v>
      </c>
      <c r="G11" s="76">
        <f>ROUND(E11*F11,5)</f>
        <v>10075.57912</v>
      </c>
    </row>
    <row r="12" spans="1:7" ht="15.75">
      <c r="A12" s="12" t="s">
        <v>0</v>
      </c>
      <c r="B12" s="13" t="s">
        <v>0</v>
      </c>
      <c r="C12" s="13" t="s">
        <v>368</v>
      </c>
      <c r="D12" s="13" t="s">
        <v>0</v>
      </c>
      <c r="E12" s="74"/>
      <c r="F12" s="75"/>
      <c r="G12" s="77">
        <f>ROUND(SUM(G13:G16),5)</f>
        <v>16022.14134</v>
      </c>
    </row>
    <row r="13" spans="1:7" ht="15">
      <c r="A13" s="12" t="s">
        <v>0</v>
      </c>
      <c r="B13" s="13" t="s">
        <v>0</v>
      </c>
      <c r="C13" s="13" t="s">
        <v>9</v>
      </c>
      <c r="D13" s="13" t="s">
        <v>10</v>
      </c>
      <c r="E13" s="74">
        <f>0.00897</f>
        <v>0.00897</v>
      </c>
      <c r="F13" s="75">
        <f>'Gia NC,CM'!P14</f>
        <v>1786191.9</v>
      </c>
      <c r="G13" s="76">
        <f>ROUND(E13*F13,5)</f>
        <v>16022.14134</v>
      </c>
    </row>
    <row r="14" spans="1:7" ht="15">
      <c r="A14" s="12" t="s">
        <v>0</v>
      </c>
      <c r="B14" s="13" t="s">
        <v>0</v>
      </c>
      <c r="C14" s="13" t="s">
        <v>0</v>
      </c>
      <c r="D14" s="13" t="s">
        <v>0</v>
      </c>
      <c r="E14" s="74"/>
      <c r="F14" s="75"/>
      <c r="G14" s="76"/>
    </row>
    <row r="15" spans="1:7" ht="15">
      <c r="A15" s="12" t="s">
        <v>11</v>
      </c>
      <c r="B15" s="13" t="s">
        <v>12</v>
      </c>
      <c r="C15" s="13" t="s">
        <v>13</v>
      </c>
      <c r="D15" s="13" t="s">
        <v>5</v>
      </c>
      <c r="E15" s="74"/>
      <c r="F15" s="75"/>
      <c r="G15" s="76"/>
    </row>
    <row r="16" spans="1:7" ht="15">
      <c r="A16" s="12" t="s">
        <v>0</v>
      </c>
      <c r="B16" s="13" t="s">
        <v>0</v>
      </c>
      <c r="C16" s="13" t="s">
        <v>6</v>
      </c>
      <c r="D16" s="13" t="s">
        <v>0</v>
      </c>
      <c r="E16" s="74"/>
      <c r="F16" s="75"/>
      <c r="G16" s="76"/>
    </row>
    <row r="17" spans="1:7" ht="15.75">
      <c r="A17" s="12" t="s">
        <v>0</v>
      </c>
      <c r="B17" s="13" t="s">
        <v>0</v>
      </c>
      <c r="C17" s="13" t="s">
        <v>367</v>
      </c>
      <c r="D17" s="13" t="s">
        <v>0</v>
      </c>
      <c r="E17" s="74"/>
      <c r="F17" s="75"/>
      <c r="G17" s="77">
        <f>ROUND(SUM(G18:G21),5)</f>
        <v>354065.904</v>
      </c>
    </row>
    <row r="18" spans="1:7" ht="15">
      <c r="A18" s="12" t="s">
        <v>0</v>
      </c>
      <c r="B18" s="13" t="s">
        <v>0</v>
      </c>
      <c r="C18" s="13" t="s">
        <v>7</v>
      </c>
      <c r="D18" s="13" t="s">
        <v>8</v>
      </c>
      <c r="E18" s="74">
        <f>1.62</f>
        <v>1.62</v>
      </c>
      <c r="F18" s="75">
        <f>'Gia NC,CM'!P8</f>
        <v>218559.2</v>
      </c>
      <c r="G18" s="76">
        <f>ROUND(E18*F18,5)</f>
        <v>354065.904</v>
      </c>
    </row>
    <row r="19" spans="1:7" ht="15">
      <c r="A19" s="12" t="s">
        <v>0</v>
      </c>
      <c r="B19" s="13" t="s">
        <v>0</v>
      </c>
      <c r="C19" s="13" t="s">
        <v>0</v>
      </c>
      <c r="D19" s="13" t="s">
        <v>0</v>
      </c>
      <c r="E19" s="74"/>
      <c r="F19" s="75"/>
      <c r="G19" s="76"/>
    </row>
    <row r="20" spans="1:7" ht="15">
      <c r="A20" s="12" t="s">
        <v>14</v>
      </c>
      <c r="B20" s="13" t="s">
        <v>15</v>
      </c>
      <c r="C20" s="13" t="s">
        <v>16</v>
      </c>
      <c r="D20" s="13" t="s">
        <v>5</v>
      </c>
      <c r="E20" s="74"/>
      <c r="F20" s="75"/>
      <c r="G20" s="76"/>
    </row>
    <row r="21" spans="1:7" ht="15">
      <c r="A21" s="12" t="s">
        <v>0</v>
      </c>
      <c r="B21" s="13" t="s">
        <v>0</v>
      </c>
      <c r="C21" s="13" t="s">
        <v>17</v>
      </c>
      <c r="D21" s="13" t="s">
        <v>0</v>
      </c>
      <c r="E21" s="74"/>
      <c r="F21" s="75"/>
      <c r="G21" s="76"/>
    </row>
    <row r="22" spans="1:7" ht="15.75">
      <c r="A22" s="12" t="s">
        <v>0</v>
      </c>
      <c r="B22" s="13" t="s">
        <v>0</v>
      </c>
      <c r="C22" s="13" t="s">
        <v>374</v>
      </c>
      <c r="D22" s="13" t="s">
        <v>0</v>
      </c>
      <c r="E22" s="74"/>
      <c r="F22" s="75"/>
      <c r="G22" s="77">
        <f>ROUND(SUM(G23:G26),5)</f>
        <v>842364.63398</v>
      </c>
    </row>
    <row r="23" spans="1:7" ht="15">
      <c r="A23" s="12" t="s">
        <v>0</v>
      </c>
      <c r="B23" s="13" t="s">
        <v>0</v>
      </c>
      <c r="C23" s="13" t="s">
        <v>18</v>
      </c>
      <c r="D23" s="13" t="s">
        <v>19</v>
      </c>
      <c r="E23" s="74">
        <f>1.025*193</f>
        <v>197.825</v>
      </c>
      <c r="F23" s="75">
        <f>ROUND('Gia VL'!Q42/1000,5)</f>
        <v>1637.6775</v>
      </c>
      <c r="G23" s="76">
        <f>ROUND(E23*F23,5)</f>
        <v>323973.55144</v>
      </c>
    </row>
    <row r="24" spans="1:7" ht="15">
      <c r="A24" s="12" t="s">
        <v>0</v>
      </c>
      <c r="B24" s="13" t="s">
        <v>0</v>
      </c>
      <c r="C24" s="13" t="s">
        <v>20</v>
      </c>
      <c r="D24" s="13" t="s">
        <v>21</v>
      </c>
      <c r="E24" s="74">
        <f>1.025*0.559</f>
        <v>0.572975</v>
      </c>
      <c r="F24" s="75">
        <f>'Gia VL'!Q13</f>
        <v>377786.9</v>
      </c>
      <c r="G24" s="76">
        <f>ROUND(E24*F24,5)</f>
        <v>216462.44903</v>
      </c>
    </row>
    <row r="25" spans="1:7" ht="15">
      <c r="A25" s="12" t="s">
        <v>0</v>
      </c>
      <c r="B25" s="13" t="s">
        <v>0</v>
      </c>
      <c r="C25" s="13" t="s">
        <v>22</v>
      </c>
      <c r="D25" s="13" t="s">
        <v>21</v>
      </c>
      <c r="E25" s="74">
        <f>1.025*0.906</f>
        <v>0.92865</v>
      </c>
      <c r="F25" s="75">
        <f>'Gia VL'!Q59</f>
        <v>323419.6</v>
      </c>
      <c r="G25" s="76">
        <f>ROUND(E25*F25,5)</f>
        <v>300343.61154</v>
      </c>
    </row>
    <row r="26" spans="1:7" ht="15">
      <c r="A26" s="12" t="s">
        <v>0</v>
      </c>
      <c r="B26" s="13" t="s">
        <v>0</v>
      </c>
      <c r="C26" s="13" t="s">
        <v>23</v>
      </c>
      <c r="D26" s="13" t="s">
        <v>21</v>
      </c>
      <c r="E26" s="74">
        <f>1.025*0.162</f>
        <v>0.16605</v>
      </c>
      <c r="F26" s="75">
        <f>'Gia VL'!Q36</f>
        <v>9545.45</v>
      </c>
      <c r="G26" s="76">
        <f>ROUND(E26*F26,5)</f>
        <v>1585.02197</v>
      </c>
    </row>
    <row r="27" spans="1:7" ht="15.75">
      <c r="A27" s="12" t="s">
        <v>0</v>
      </c>
      <c r="B27" s="13" t="s">
        <v>0</v>
      </c>
      <c r="C27" s="13" t="s">
        <v>367</v>
      </c>
      <c r="D27" s="13" t="s">
        <v>0</v>
      </c>
      <c r="E27" s="74"/>
      <c r="F27" s="75"/>
      <c r="G27" s="77">
        <f>ROUND(SUM(G28:G28),5)</f>
        <v>246774.421</v>
      </c>
    </row>
    <row r="28" spans="1:7" ht="15">
      <c r="A28" s="12" t="s">
        <v>0</v>
      </c>
      <c r="B28" s="13" t="s">
        <v>0</v>
      </c>
      <c r="C28" s="13" t="s">
        <v>24</v>
      </c>
      <c r="D28" s="13" t="s">
        <v>8</v>
      </c>
      <c r="E28" s="74">
        <f>1.07</f>
        <v>1.07</v>
      </c>
      <c r="F28" s="75">
        <f>'Gia NC,CM'!P9</f>
        <v>230630.3</v>
      </c>
      <c r="G28" s="76">
        <f>ROUND(E28*F28,5)</f>
        <v>246774.421</v>
      </c>
    </row>
    <row r="29" spans="1:7" ht="15.75">
      <c r="A29" s="12" t="s">
        <v>0</v>
      </c>
      <c r="B29" s="13" t="s">
        <v>0</v>
      </c>
      <c r="C29" s="13" t="s">
        <v>368</v>
      </c>
      <c r="D29" s="13" t="s">
        <v>0</v>
      </c>
      <c r="E29" s="74"/>
      <c r="F29" s="75"/>
      <c r="G29" s="77">
        <f>ROUND(SUM(G30:G34),5)</f>
        <v>54409.0095</v>
      </c>
    </row>
    <row r="30" spans="1:7" ht="15">
      <c r="A30" s="12" t="s">
        <v>0</v>
      </c>
      <c r="B30" s="13" t="s">
        <v>0</v>
      </c>
      <c r="C30" s="13" t="s">
        <v>25</v>
      </c>
      <c r="D30" s="13" t="s">
        <v>10</v>
      </c>
      <c r="E30" s="74">
        <f>0.095</f>
        <v>0.095</v>
      </c>
      <c r="F30" s="75">
        <f>'Gia NC,CM'!P13</f>
        <v>318885.3</v>
      </c>
      <c r="G30" s="76">
        <f>ROUND(E30*F30,5)</f>
        <v>30294.1035</v>
      </c>
    </row>
    <row r="31" spans="1:7" ht="15">
      <c r="A31" s="12" t="s">
        <v>0</v>
      </c>
      <c r="B31" s="13" t="s">
        <v>0</v>
      </c>
      <c r="C31" s="13" t="s">
        <v>26</v>
      </c>
      <c r="D31" s="13" t="s">
        <v>10</v>
      </c>
      <c r="E31" s="74">
        <f>0.089</f>
        <v>0.089</v>
      </c>
      <c r="F31" s="75">
        <f>'Gia NC,CM'!P15</f>
        <v>270954</v>
      </c>
      <c r="G31" s="76">
        <f>ROUND(E31*F31,5)</f>
        <v>24114.906</v>
      </c>
    </row>
    <row r="32" spans="1:7" ht="15">
      <c r="A32" s="12" t="s">
        <v>0</v>
      </c>
      <c r="B32" s="13" t="s">
        <v>0</v>
      </c>
      <c r="C32" s="13" t="s">
        <v>0</v>
      </c>
      <c r="D32" s="13" t="s">
        <v>0</v>
      </c>
      <c r="E32" s="74"/>
      <c r="F32" s="75"/>
      <c r="G32" s="76"/>
    </row>
    <row r="33" spans="1:7" ht="15">
      <c r="A33" s="12" t="s">
        <v>27</v>
      </c>
      <c r="B33" s="13" t="s">
        <v>28</v>
      </c>
      <c r="C33" s="13" t="s">
        <v>29</v>
      </c>
      <c r="D33" s="13" t="s">
        <v>5</v>
      </c>
      <c r="E33" s="74"/>
      <c r="F33" s="75"/>
      <c r="G33" s="76"/>
    </row>
    <row r="34" spans="1:7" ht="15">
      <c r="A34" s="12" t="s">
        <v>0</v>
      </c>
      <c r="B34" s="13" t="s">
        <v>0</v>
      </c>
      <c r="C34" s="13" t="s">
        <v>30</v>
      </c>
      <c r="D34" s="13" t="s">
        <v>0</v>
      </c>
      <c r="E34" s="74"/>
      <c r="F34" s="75"/>
      <c r="G34" s="76"/>
    </row>
    <row r="35" spans="1:7" ht="15.75">
      <c r="A35" s="12" t="s">
        <v>0</v>
      </c>
      <c r="B35" s="13" t="s">
        <v>0</v>
      </c>
      <c r="C35" s="13" t="s">
        <v>374</v>
      </c>
      <c r="D35" s="13" t="s">
        <v>0</v>
      </c>
      <c r="E35" s="74"/>
      <c r="F35" s="75"/>
      <c r="G35" s="77">
        <f>ROUND(SUM(G36:G40),5)</f>
        <v>925725.51092</v>
      </c>
    </row>
    <row r="36" spans="1:7" ht="15">
      <c r="A36" s="12" t="s">
        <v>0</v>
      </c>
      <c r="B36" s="13" t="s">
        <v>0</v>
      </c>
      <c r="C36" s="13" t="s">
        <v>31</v>
      </c>
      <c r="D36" s="13" t="s">
        <v>19</v>
      </c>
      <c r="E36" s="74">
        <f>1.025*205</f>
        <v>210.12499999999997</v>
      </c>
      <c r="F36" s="75">
        <f>ROUND('Gia VL'!Q44/1000,5)</f>
        <v>1701.3145</v>
      </c>
      <c r="G36" s="76">
        <f>ROUND(E36*F36,5)</f>
        <v>357488.70931</v>
      </c>
    </row>
    <row r="37" spans="1:7" ht="15">
      <c r="A37" s="12" t="s">
        <v>0</v>
      </c>
      <c r="B37" s="13" t="s">
        <v>0</v>
      </c>
      <c r="C37" s="13" t="s">
        <v>20</v>
      </c>
      <c r="D37" s="13" t="s">
        <v>21</v>
      </c>
      <c r="E37" s="74">
        <f>1.025*0.549</f>
        <v>0.562725</v>
      </c>
      <c r="F37" s="75">
        <f>'Gia VL'!Q13</f>
        <v>377786.9</v>
      </c>
      <c r="G37" s="76">
        <f>ROUND(E37*F37,5)</f>
        <v>212590.1333</v>
      </c>
    </row>
    <row r="38" spans="1:7" ht="15">
      <c r="A38" s="12" t="s">
        <v>0</v>
      </c>
      <c r="B38" s="13" t="s">
        <v>0</v>
      </c>
      <c r="C38" s="13" t="s">
        <v>32</v>
      </c>
      <c r="D38" s="13" t="s">
        <v>21</v>
      </c>
      <c r="E38" s="74">
        <f>1.025*0.89</f>
        <v>0.9122499999999999</v>
      </c>
      <c r="F38" s="75">
        <f>'Gia VL'!Q54</f>
        <v>377964.6</v>
      </c>
      <c r="G38" s="76">
        <f>ROUND(E38*F38,5)</f>
        <v>344798.20635</v>
      </c>
    </row>
    <row r="39" spans="1:7" ht="15">
      <c r="A39" s="12" t="s">
        <v>0</v>
      </c>
      <c r="B39" s="13" t="s">
        <v>0</v>
      </c>
      <c r="C39" s="13" t="s">
        <v>23</v>
      </c>
      <c r="D39" s="13" t="s">
        <v>21</v>
      </c>
      <c r="E39" s="74">
        <f>1.025*0.172</f>
        <v>0.17629999999999996</v>
      </c>
      <c r="F39" s="75">
        <f>'Gia VL'!Q36</f>
        <v>9545.45</v>
      </c>
      <c r="G39" s="76">
        <f>ROUND(E39*F39,5)</f>
        <v>1682.86284</v>
      </c>
    </row>
    <row r="40" spans="1:7" ht="15">
      <c r="A40" s="12" t="s">
        <v>0</v>
      </c>
      <c r="B40" s="13" t="s">
        <v>0</v>
      </c>
      <c r="C40" s="13" t="s">
        <v>373</v>
      </c>
      <c r="D40" s="13" t="s">
        <v>372</v>
      </c>
      <c r="E40" s="74">
        <f>1</f>
        <v>1</v>
      </c>
      <c r="F40" s="75"/>
      <c r="G40" s="76">
        <f>ROUND(SUM(G36:G39)*E40/100,5)</f>
        <v>9165.59912</v>
      </c>
    </row>
    <row r="41" spans="1:7" ht="15.75">
      <c r="A41" s="12" t="s">
        <v>0</v>
      </c>
      <c r="B41" s="13" t="s">
        <v>0</v>
      </c>
      <c r="C41" s="13" t="s">
        <v>367</v>
      </c>
      <c r="D41" s="13" t="s">
        <v>0</v>
      </c>
      <c r="E41" s="74"/>
      <c r="F41" s="75"/>
      <c r="G41" s="77">
        <f>ROUND(SUM(G42:G42),5)</f>
        <v>283675.269</v>
      </c>
    </row>
    <row r="42" spans="1:7" ht="15">
      <c r="A42" s="12" t="s">
        <v>0</v>
      </c>
      <c r="B42" s="13" t="s">
        <v>0</v>
      </c>
      <c r="C42" s="13" t="s">
        <v>24</v>
      </c>
      <c r="D42" s="13" t="s">
        <v>8</v>
      </c>
      <c r="E42" s="74">
        <f>1.23</f>
        <v>1.23</v>
      </c>
      <c r="F42" s="75">
        <f>'Gia NC,CM'!P9</f>
        <v>230630.3</v>
      </c>
      <c r="G42" s="76">
        <f>ROUND(E42*F42,5)</f>
        <v>283675.269</v>
      </c>
    </row>
    <row r="43" spans="1:7" ht="15.75">
      <c r="A43" s="12" t="s">
        <v>0</v>
      </c>
      <c r="B43" s="13" t="s">
        <v>0</v>
      </c>
      <c r="C43" s="13" t="s">
        <v>368</v>
      </c>
      <c r="D43" s="13" t="s">
        <v>0</v>
      </c>
      <c r="E43" s="74"/>
      <c r="F43" s="75"/>
      <c r="G43" s="77">
        <f>ROUND(SUM(G44:G48),5)</f>
        <v>54756.7503</v>
      </c>
    </row>
    <row r="44" spans="1:7" ht="15">
      <c r="A44" s="12" t="s">
        <v>0</v>
      </c>
      <c r="B44" s="13" t="s">
        <v>0</v>
      </c>
      <c r="C44" s="13" t="s">
        <v>25</v>
      </c>
      <c r="D44" s="13" t="s">
        <v>10</v>
      </c>
      <c r="E44" s="74">
        <f>0.095</f>
        <v>0.095</v>
      </c>
      <c r="F44" s="75">
        <f>'Gia NC,CM'!P13</f>
        <v>318885.3</v>
      </c>
      <c r="G44" s="76">
        <f>ROUND(E44*F44,5)</f>
        <v>30294.1035</v>
      </c>
    </row>
    <row r="45" spans="1:7" ht="15">
      <c r="A45" s="12" t="s">
        <v>0</v>
      </c>
      <c r="B45" s="13" t="s">
        <v>0</v>
      </c>
      <c r="C45" s="13" t="s">
        <v>33</v>
      </c>
      <c r="D45" s="13" t="s">
        <v>10</v>
      </c>
      <c r="E45" s="74">
        <f>0.089</f>
        <v>0.089</v>
      </c>
      <c r="F45" s="75">
        <f>'Gia NC,CM'!P16</f>
        <v>274861.2</v>
      </c>
      <c r="G45" s="76">
        <f>ROUND(E45*F45,5)</f>
        <v>24462.6468</v>
      </c>
    </row>
    <row r="46" spans="1:7" ht="15">
      <c r="A46" s="12" t="s">
        <v>0</v>
      </c>
      <c r="B46" s="13" t="s">
        <v>0</v>
      </c>
      <c r="C46" s="13" t="s">
        <v>0</v>
      </c>
      <c r="D46" s="13" t="s">
        <v>0</v>
      </c>
      <c r="E46" s="74"/>
      <c r="F46" s="75"/>
      <c r="G46" s="76"/>
    </row>
    <row r="47" spans="1:7" ht="15">
      <c r="A47" s="12" t="s">
        <v>34</v>
      </c>
      <c r="B47" s="13" t="s">
        <v>35</v>
      </c>
      <c r="C47" s="13" t="s">
        <v>36</v>
      </c>
      <c r="D47" s="13" t="s">
        <v>5</v>
      </c>
      <c r="E47" s="74"/>
      <c r="F47" s="75"/>
      <c r="G47" s="76"/>
    </row>
    <row r="48" spans="1:7" ht="15">
      <c r="A48" s="12" t="s">
        <v>0</v>
      </c>
      <c r="B48" s="13" t="s">
        <v>0</v>
      </c>
      <c r="C48" s="13" t="s">
        <v>37</v>
      </c>
      <c r="D48" s="13" t="s">
        <v>0</v>
      </c>
      <c r="E48" s="74"/>
      <c r="F48" s="75"/>
      <c r="G48" s="76"/>
    </row>
    <row r="49" spans="1:7" ht="15.75">
      <c r="A49" s="12" t="s">
        <v>0</v>
      </c>
      <c r="B49" s="13" t="s">
        <v>0</v>
      </c>
      <c r="C49" s="13" t="s">
        <v>374</v>
      </c>
      <c r="D49" s="13" t="s">
        <v>0</v>
      </c>
      <c r="E49" s="74"/>
      <c r="F49" s="75"/>
      <c r="G49" s="77">
        <f>ROUND(SUM(G50:G54),5)</f>
        <v>1013493.37612</v>
      </c>
    </row>
    <row r="50" spans="1:7" ht="15">
      <c r="A50" s="12" t="s">
        <v>0</v>
      </c>
      <c r="B50" s="13" t="s">
        <v>0</v>
      </c>
      <c r="C50" s="13" t="s">
        <v>31</v>
      </c>
      <c r="D50" s="13" t="s">
        <v>19</v>
      </c>
      <c r="E50" s="74">
        <f>1.025*259</f>
        <v>265.47499999999997</v>
      </c>
      <c r="F50" s="75">
        <f>ROUND('Gia VL'!Q44/1000,5)</f>
        <v>1701.3145</v>
      </c>
      <c r="G50" s="76">
        <f>ROUND(E50*F50,5)</f>
        <v>451656.46689</v>
      </c>
    </row>
    <row r="51" spans="1:7" ht="15">
      <c r="A51" s="12" t="s">
        <v>0</v>
      </c>
      <c r="B51" s="13" t="s">
        <v>0</v>
      </c>
      <c r="C51" s="13" t="s">
        <v>20</v>
      </c>
      <c r="D51" s="13" t="s">
        <v>21</v>
      </c>
      <c r="E51" s="74">
        <f>1.025*0.528</f>
        <v>0.5412</v>
      </c>
      <c r="F51" s="75">
        <f>'Gia VL'!Q13</f>
        <v>377786.9</v>
      </c>
      <c r="G51" s="76">
        <f>ROUND(E51*F51,5)</f>
        <v>204458.27028</v>
      </c>
    </row>
    <row r="52" spans="1:7" ht="15">
      <c r="A52" s="12" t="s">
        <v>0</v>
      </c>
      <c r="B52" s="13" t="s">
        <v>0</v>
      </c>
      <c r="C52" s="13" t="s">
        <v>38</v>
      </c>
      <c r="D52" s="13" t="s">
        <v>21</v>
      </c>
      <c r="E52" s="74">
        <f>1.025*0.871</f>
        <v>0.8927749999999999</v>
      </c>
      <c r="F52" s="75">
        <f>'Gia VL'!Q49</f>
        <v>387055.6</v>
      </c>
      <c r="G52" s="76">
        <f>ROUND(E52*F52,5)</f>
        <v>345553.56329</v>
      </c>
    </row>
    <row r="53" spans="1:7" ht="15">
      <c r="A53" s="12" t="s">
        <v>0</v>
      </c>
      <c r="B53" s="13" t="s">
        <v>0</v>
      </c>
      <c r="C53" s="13" t="s">
        <v>23</v>
      </c>
      <c r="D53" s="13" t="s">
        <v>21</v>
      </c>
      <c r="E53" s="74">
        <f>1.025*0.183</f>
        <v>0.187575</v>
      </c>
      <c r="F53" s="75">
        <f>'Gia VL'!Q36</f>
        <v>9545.45</v>
      </c>
      <c r="G53" s="76">
        <f>ROUND(E53*F53,5)</f>
        <v>1790.48778</v>
      </c>
    </row>
    <row r="54" spans="1:7" ht="15">
      <c r="A54" s="12" t="s">
        <v>0</v>
      </c>
      <c r="B54" s="13" t="s">
        <v>0</v>
      </c>
      <c r="C54" s="13" t="s">
        <v>373</v>
      </c>
      <c r="D54" s="13" t="s">
        <v>372</v>
      </c>
      <c r="E54" s="74">
        <f>1</f>
        <v>1</v>
      </c>
      <c r="F54" s="75"/>
      <c r="G54" s="76">
        <f>ROUND(SUM(G50:G53)*E54/100,5)</f>
        <v>10034.58788</v>
      </c>
    </row>
    <row r="55" spans="1:7" ht="15.75">
      <c r="A55" s="12" t="s">
        <v>0</v>
      </c>
      <c r="B55" s="13" t="s">
        <v>0</v>
      </c>
      <c r="C55" s="13" t="s">
        <v>367</v>
      </c>
      <c r="D55" s="13" t="s">
        <v>0</v>
      </c>
      <c r="E55" s="74"/>
      <c r="F55" s="75"/>
      <c r="G55" s="77">
        <f>ROUND(SUM(G56:G56),5)</f>
        <v>283675.269</v>
      </c>
    </row>
    <row r="56" spans="1:7" ht="15">
      <c r="A56" s="12" t="s">
        <v>0</v>
      </c>
      <c r="B56" s="13" t="s">
        <v>0</v>
      </c>
      <c r="C56" s="13" t="s">
        <v>24</v>
      </c>
      <c r="D56" s="13" t="s">
        <v>8</v>
      </c>
      <c r="E56" s="74">
        <f>1.23</f>
        <v>1.23</v>
      </c>
      <c r="F56" s="75">
        <f>'Gia NC,CM'!P9</f>
        <v>230630.3</v>
      </c>
      <c r="G56" s="76">
        <f>ROUND(E56*F56,5)</f>
        <v>283675.269</v>
      </c>
    </row>
    <row r="57" spans="1:7" ht="15.75">
      <c r="A57" s="12" t="s">
        <v>0</v>
      </c>
      <c r="B57" s="13" t="s">
        <v>0</v>
      </c>
      <c r="C57" s="13" t="s">
        <v>368</v>
      </c>
      <c r="D57" s="13" t="s">
        <v>0</v>
      </c>
      <c r="E57" s="74"/>
      <c r="F57" s="75"/>
      <c r="G57" s="77">
        <f>ROUND(SUM(G58:G61),5)</f>
        <v>54756.7503</v>
      </c>
    </row>
    <row r="58" spans="1:7" ht="15">
      <c r="A58" s="12" t="s">
        <v>0</v>
      </c>
      <c r="B58" s="13" t="s">
        <v>0</v>
      </c>
      <c r="C58" s="13" t="s">
        <v>25</v>
      </c>
      <c r="D58" s="13" t="s">
        <v>10</v>
      </c>
      <c r="E58" s="74">
        <f>0.095</f>
        <v>0.095</v>
      </c>
      <c r="F58" s="75">
        <f>'Gia NC,CM'!P13</f>
        <v>318885.3</v>
      </c>
      <c r="G58" s="76">
        <f>ROUND(E58*F58,5)</f>
        <v>30294.1035</v>
      </c>
    </row>
    <row r="59" spans="1:7" ht="15">
      <c r="A59" s="12" t="s">
        <v>0</v>
      </c>
      <c r="B59" s="13" t="s">
        <v>0</v>
      </c>
      <c r="C59" s="13" t="s">
        <v>33</v>
      </c>
      <c r="D59" s="13" t="s">
        <v>10</v>
      </c>
      <c r="E59" s="74">
        <f>0.089</f>
        <v>0.089</v>
      </c>
      <c r="F59" s="75">
        <f>'Gia NC,CM'!P16</f>
        <v>274861.2</v>
      </c>
      <c r="G59" s="76">
        <f>ROUND(E59*F59,5)</f>
        <v>24462.6468</v>
      </c>
    </row>
    <row r="60" spans="1:7" ht="15">
      <c r="A60" s="12" t="s">
        <v>0</v>
      </c>
      <c r="B60" s="13" t="s">
        <v>0</v>
      </c>
      <c r="C60" s="13" t="s">
        <v>0</v>
      </c>
      <c r="D60" s="13" t="s">
        <v>0</v>
      </c>
      <c r="E60" s="74"/>
      <c r="F60" s="75"/>
      <c r="G60" s="76"/>
    </row>
    <row r="61" spans="1:7" ht="15">
      <c r="A61" s="12" t="s">
        <v>39</v>
      </c>
      <c r="B61" s="13" t="s">
        <v>40</v>
      </c>
      <c r="C61" s="13" t="s">
        <v>41</v>
      </c>
      <c r="D61" s="13" t="s">
        <v>42</v>
      </c>
      <c r="E61" s="74"/>
      <c r="F61" s="75"/>
      <c r="G61" s="76"/>
    </row>
    <row r="62" spans="1:7" ht="15.75">
      <c r="A62" s="12" t="s">
        <v>0</v>
      </c>
      <c r="B62" s="13" t="s">
        <v>0</v>
      </c>
      <c r="C62" s="13" t="s">
        <v>374</v>
      </c>
      <c r="D62" s="13" t="s">
        <v>0</v>
      </c>
      <c r="E62" s="74"/>
      <c r="F62" s="75"/>
      <c r="G62" s="77">
        <f>ROUND(SUM(G63:G67),5)</f>
        <v>57802.07044</v>
      </c>
    </row>
    <row r="63" spans="1:7" ht="15">
      <c r="A63" s="12" t="s">
        <v>0</v>
      </c>
      <c r="B63" s="13" t="s">
        <v>0</v>
      </c>
      <c r="C63" s="13" t="s">
        <v>43</v>
      </c>
      <c r="D63" s="13" t="s">
        <v>21</v>
      </c>
      <c r="E63" s="74">
        <f>0.00794</f>
        <v>0.00794</v>
      </c>
      <c r="F63" s="75">
        <f>'Gia VL'!Q29</f>
        <v>4090909.09</v>
      </c>
      <c r="G63" s="76">
        <f>ROUND(E63*F63,5)</f>
        <v>32481.81817</v>
      </c>
    </row>
    <row r="64" spans="1:7" ht="15">
      <c r="A64" s="12" t="s">
        <v>0</v>
      </c>
      <c r="B64" s="13" t="s">
        <v>0</v>
      </c>
      <c r="C64" s="13" t="s">
        <v>44</v>
      </c>
      <c r="D64" s="13" t="s">
        <v>21</v>
      </c>
      <c r="E64" s="74">
        <f>0.0021</f>
        <v>0.0021</v>
      </c>
      <c r="F64" s="75">
        <f>'Gia VL'!Q30</f>
        <v>4090909.09</v>
      </c>
      <c r="G64" s="76">
        <f>ROUND(E64*F64,5)</f>
        <v>8590.90909</v>
      </c>
    </row>
    <row r="65" spans="1:7" ht="15">
      <c r="A65" s="12" t="s">
        <v>0</v>
      </c>
      <c r="B65" s="13" t="s">
        <v>0</v>
      </c>
      <c r="C65" s="13" t="s">
        <v>45</v>
      </c>
      <c r="D65" s="13" t="s">
        <v>21</v>
      </c>
      <c r="E65" s="74">
        <f>0.00335</f>
        <v>0.00335</v>
      </c>
      <c r="F65" s="75">
        <f>'Gia VL'!Q28</f>
        <v>4090909.09</v>
      </c>
      <c r="G65" s="76">
        <f>ROUND(E65*F65,5)</f>
        <v>13704.54545</v>
      </c>
    </row>
    <row r="66" spans="1:7" ht="15">
      <c r="A66" s="12" t="s">
        <v>0</v>
      </c>
      <c r="B66" s="13" t="s">
        <v>0</v>
      </c>
      <c r="C66" s="13" t="s">
        <v>46</v>
      </c>
      <c r="D66" s="13" t="s">
        <v>19</v>
      </c>
      <c r="E66" s="74">
        <f>0.15</f>
        <v>0.15</v>
      </c>
      <c r="F66" s="75">
        <f>ROUND('Gia VL'!Q48/1000,5)</f>
        <v>16350</v>
      </c>
      <c r="G66" s="76">
        <f>ROUND(E66*F66,5)</f>
        <v>2452.5</v>
      </c>
    </row>
    <row r="67" spans="1:7" ht="15">
      <c r="A67" s="12" t="s">
        <v>0</v>
      </c>
      <c r="B67" s="13" t="s">
        <v>0</v>
      </c>
      <c r="C67" s="13" t="s">
        <v>373</v>
      </c>
      <c r="D67" s="13" t="s">
        <v>372</v>
      </c>
      <c r="E67" s="74">
        <f>1</f>
        <v>1</v>
      </c>
      <c r="F67" s="75"/>
      <c r="G67" s="76">
        <f>ROUND(SUM(G63:G66)*E67/100,5)</f>
        <v>572.29773</v>
      </c>
    </row>
    <row r="68" spans="1:7" ht="15.75">
      <c r="A68" s="12" t="s">
        <v>0</v>
      </c>
      <c r="B68" s="13" t="s">
        <v>0</v>
      </c>
      <c r="C68" s="13" t="s">
        <v>367</v>
      </c>
      <c r="D68" s="13" t="s">
        <v>0</v>
      </c>
      <c r="E68" s="74"/>
      <c r="F68" s="75"/>
      <c r="G68" s="77">
        <f>ROUND(SUM(G69:G72),5)</f>
        <v>74903.4</v>
      </c>
    </row>
    <row r="69" spans="1:7" ht="15">
      <c r="A69" s="12" t="s">
        <v>0</v>
      </c>
      <c r="B69" s="13" t="s">
        <v>0</v>
      </c>
      <c r="C69" s="13" t="s">
        <v>47</v>
      </c>
      <c r="D69" s="13" t="s">
        <v>8</v>
      </c>
      <c r="E69" s="74">
        <f>0.297</f>
        <v>0.297</v>
      </c>
      <c r="F69" s="75">
        <f>'Gia NC,CM'!P10</f>
        <v>252200</v>
      </c>
      <c r="G69" s="76">
        <f>ROUND(E69*F69,5)</f>
        <v>74903.4</v>
      </c>
    </row>
    <row r="70" spans="1:7" ht="15">
      <c r="A70" s="12" t="s">
        <v>0</v>
      </c>
      <c r="B70" s="13" t="s">
        <v>0</v>
      </c>
      <c r="C70" s="13" t="s">
        <v>0</v>
      </c>
      <c r="D70" s="13" t="s">
        <v>0</v>
      </c>
      <c r="E70" s="74"/>
      <c r="F70" s="75"/>
      <c r="G70" s="76"/>
    </row>
    <row r="71" spans="1:7" ht="15">
      <c r="A71" s="12" t="s">
        <v>48</v>
      </c>
      <c r="B71" s="13" t="s">
        <v>49</v>
      </c>
      <c r="C71" s="13" t="s">
        <v>50</v>
      </c>
      <c r="D71" s="13" t="s">
        <v>5</v>
      </c>
      <c r="E71" s="74"/>
      <c r="F71" s="75"/>
      <c r="G71" s="76"/>
    </row>
    <row r="72" spans="1:7" ht="15">
      <c r="A72" s="12" t="s">
        <v>0</v>
      </c>
      <c r="B72" s="13" t="s">
        <v>0</v>
      </c>
      <c r="C72" s="13" t="s">
        <v>51</v>
      </c>
      <c r="D72" s="13" t="s">
        <v>0</v>
      </c>
      <c r="E72" s="74"/>
      <c r="F72" s="75"/>
      <c r="G72" s="76"/>
    </row>
    <row r="73" spans="1:7" ht="15.75">
      <c r="A73" s="12" t="s">
        <v>0</v>
      </c>
      <c r="B73" s="13" t="s">
        <v>0</v>
      </c>
      <c r="C73" s="13" t="s">
        <v>367</v>
      </c>
      <c r="D73" s="13" t="s">
        <v>0</v>
      </c>
      <c r="E73" s="74"/>
      <c r="F73" s="75"/>
      <c r="G73" s="77">
        <f>ROUND(SUM(G74:G74),5)</f>
        <v>11780.34088</v>
      </c>
    </row>
    <row r="74" spans="1:7" ht="15">
      <c r="A74" s="12" t="s">
        <v>0</v>
      </c>
      <c r="B74" s="13" t="s">
        <v>0</v>
      </c>
      <c r="C74" s="13" t="s">
        <v>7</v>
      </c>
      <c r="D74" s="13" t="s">
        <v>8</v>
      </c>
      <c r="E74" s="74">
        <f>0.0539</f>
        <v>0.0539</v>
      </c>
      <c r="F74" s="75">
        <f>'Gia NC,CM'!P8</f>
        <v>218559.2</v>
      </c>
      <c r="G74" s="76">
        <f>ROUND(E74*F74,5)</f>
        <v>11780.34088</v>
      </c>
    </row>
    <row r="75" spans="1:7" ht="15.75">
      <c r="A75" s="12" t="s">
        <v>0</v>
      </c>
      <c r="B75" s="13" t="s">
        <v>0</v>
      </c>
      <c r="C75" s="13" t="s">
        <v>368</v>
      </c>
      <c r="D75" s="13" t="s">
        <v>0</v>
      </c>
      <c r="E75" s="74"/>
      <c r="F75" s="75"/>
      <c r="G75" s="77">
        <f>ROUND(SUM(G76:G78),5)</f>
        <v>12638.29375</v>
      </c>
    </row>
    <row r="76" spans="1:7" ht="15">
      <c r="A76" s="12" t="s">
        <v>0</v>
      </c>
      <c r="B76" s="13" t="s">
        <v>0</v>
      </c>
      <c r="C76" s="13" t="s">
        <v>52</v>
      </c>
      <c r="D76" s="13" t="s">
        <v>10</v>
      </c>
      <c r="E76" s="74">
        <f>0.0335</f>
        <v>0.0335</v>
      </c>
      <c r="F76" s="75">
        <f>'Gia NC,CM'!P17</f>
        <v>377262.5</v>
      </c>
      <c r="G76" s="76">
        <f>ROUND(E76*F76,5)</f>
        <v>12638.29375</v>
      </c>
    </row>
    <row r="77" spans="1:7" ht="15">
      <c r="A77" s="12" t="s">
        <v>0</v>
      </c>
      <c r="B77" s="13" t="s">
        <v>0</v>
      </c>
      <c r="C77" s="13" t="s">
        <v>0</v>
      </c>
      <c r="D77" s="13" t="s">
        <v>0</v>
      </c>
      <c r="E77" s="74"/>
      <c r="F77" s="75"/>
      <c r="G77" s="76"/>
    </row>
    <row r="78" spans="1:7" ht="15">
      <c r="A78" s="12" t="s">
        <v>53</v>
      </c>
      <c r="B78" s="13" t="s">
        <v>54</v>
      </c>
      <c r="C78" s="13" t="s">
        <v>55</v>
      </c>
      <c r="D78" s="13" t="s">
        <v>56</v>
      </c>
      <c r="E78" s="74"/>
      <c r="F78" s="75"/>
      <c r="G78" s="76"/>
    </row>
    <row r="79" spans="1:7" ht="15.75">
      <c r="A79" s="12" t="s">
        <v>0</v>
      </c>
      <c r="B79" s="13" t="s">
        <v>0</v>
      </c>
      <c r="C79" s="13" t="s">
        <v>369</v>
      </c>
      <c r="D79" s="13" t="s">
        <v>0</v>
      </c>
      <c r="E79" s="74"/>
      <c r="F79" s="75"/>
      <c r="G79" s="77">
        <f>ROUND(SUM(G80:G80),5)</f>
        <v>2784000</v>
      </c>
    </row>
    <row r="80" spans="1:7" ht="15">
      <c r="A80" s="12" t="s">
        <v>0</v>
      </c>
      <c r="B80" s="13" t="s">
        <v>0</v>
      </c>
      <c r="C80" s="13" t="s">
        <v>57</v>
      </c>
      <c r="D80" s="13" t="s">
        <v>58</v>
      </c>
      <c r="E80" s="74">
        <f>1</f>
        <v>1</v>
      </c>
      <c r="F80" s="75">
        <f>'Gia VL'!Q21</f>
        <v>2784000</v>
      </c>
      <c r="G80" s="76">
        <f>ROUND(E80*F80,5)</f>
        <v>2784000</v>
      </c>
    </row>
    <row r="81" spans="1:7" ht="15.75">
      <c r="A81" s="12" t="s">
        <v>0</v>
      </c>
      <c r="B81" s="13" t="s">
        <v>0</v>
      </c>
      <c r="C81" s="13" t="s">
        <v>370</v>
      </c>
      <c r="D81" s="13" t="s">
        <v>0</v>
      </c>
      <c r="E81" s="74"/>
      <c r="F81" s="75"/>
      <c r="G81" s="77">
        <f>ROUND(SUM(G82:G82),5)</f>
        <v>411086</v>
      </c>
    </row>
    <row r="82" spans="1:7" ht="15">
      <c r="A82" s="12" t="s">
        <v>0</v>
      </c>
      <c r="B82" s="13" t="s">
        <v>0</v>
      </c>
      <c r="C82" s="13" t="s">
        <v>47</v>
      </c>
      <c r="D82" s="13" t="s">
        <v>8</v>
      </c>
      <c r="E82" s="74">
        <f>1.63</f>
        <v>1.63</v>
      </c>
      <c r="F82" s="75">
        <f>'Gia NC,CM'!P10</f>
        <v>252200</v>
      </c>
      <c r="G82" s="76">
        <f>ROUND(E82*F82,5)</f>
        <v>411086</v>
      </c>
    </row>
    <row r="83" spans="1:7" ht="15.75">
      <c r="A83" s="12" t="s">
        <v>0</v>
      </c>
      <c r="B83" s="13" t="s">
        <v>0</v>
      </c>
      <c r="C83" s="13" t="s">
        <v>371</v>
      </c>
      <c r="D83" s="13" t="s">
        <v>0</v>
      </c>
      <c r="E83" s="74"/>
      <c r="F83" s="75"/>
      <c r="G83" s="77">
        <f>ROUND(SUM(G84:G86),5)</f>
        <v>216825.93</v>
      </c>
    </row>
    <row r="84" spans="1:7" ht="15">
      <c r="A84" s="12" t="s">
        <v>0</v>
      </c>
      <c r="B84" s="13" t="s">
        <v>0</v>
      </c>
      <c r="C84" s="13" t="s">
        <v>59</v>
      </c>
      <c r="D84" s="13" t="s">
        <v>10</v>
      </c>
      <c r="E84" s="74">
        <f>0.15</f>
        <v>0.15</v>
      </c>
      <c r="F84" s="75">
        <f>'Gia NC,CM'!P11</f>
        <v>1445506.2</v>
      </c>
      <c r="G84" s="76">
        <f>ROUND(E84*F84,5)</f>
        <v>216825.93</v>
      </c>
    </row>
    <row r="85" spans="1:7" ht="15">
      <c r="A85" s="12" t="s">
        <v>0</v>
      </c>
      <c r="B85" s="13" t="s">
        <v>0</v>
      </c>
      <c r="C85" s="13" t="s">
        <v>0</v>
      </c>
      <c r="D85" s="13" t="s">
        <v>0</v>
      </c>
      <c r="E85" s="74"/>
      <c r="F85" s="75"/>
      <c r="G85" s="76"/>
    </row>
    <row r="86" spans="1:7" ht="15">
      <c r="A86" s="12" t="s">
        <v>60</v>
      </c>
      <c r="B86" s="13" t="s">
        <v>61</v>
      </c>
      <c r="C86" s="13" t="s">
        <v>62</v>
      </c>
      <c r="D86" s="13" t="s">
        <v>56</v>
      </c>
      <c r="E86" s="74"/>
      <c r="F86" s="75"/>
      <c r="G86" s="76"/>
    </row>
    <row r="87" spans="1:7" ht="15.75">
      <c r="A87" s="12" t="s">
        <v>0</v>
      </c>
      <c r="B87" s="13" t="s">
        <v>0</v>
      </c>
      <c r="C87" s="13" t="s">
        <v>369</v>
      </c>
      <c r="D87" s="13" t="s">
        <v>0</v>
      </c>
      <c r="E87" s="74"/>
      <c r="F87" s="75"/>
      <c r="G87" s="77">
        <f>ROUND(SUM(G88:G88),5)</f>
        <v>3420000</v>
      </c>
    </row>
    <row r="88" spans="1:7" ht="15">
      <c r="A88" s="12" t="s">
        <v>0</v>
      </c>
      <c r="B88" s="13" t="s">
        <v>0</v>
      </c>
      <c r="C88" s="13" t="s">
        <v>63</v>
      </c>
      <c r="D88" s="13" t="s">
        <v>58</v>
      </c>
      <c r="E88" s="74">
        <f>1</f>
        <v>1</v>
      </c>
      <c r="F88" s="75">
        <f>'Gia VL'!Q22</f>
        <v>3420000</v>
      </c>
      <c r="G88" s="76">
        <f>ROUND(E88*F88,5)</f>
        <v>3420000</v>
      </c>
    </row>
    <row r="89" spans="1:7" ht="15.75">
      <c r="A89" s="12" t="s">
        <v>0</v>
      </c>
      <c r="B89" s="13" t="s">
        <v>0</v>
      </c>
      <c r="C89" s="13" t="s">
        <v>370</v>
      </c>
      <c r="D89" s="13" t="s">
        <v>0</v>
      </c>
      <c r="E89" s="74"/>
      <c r="F89" s="75"/>
      <c r="G89" s="77">
        <f>ROUND(SUM(G90:G90),5)</f>
        <v>411086</v>
      </c>
    </row>
    <row r="90" spans="1:7" ht="15">
      <c r="A90" s="12" t="s">
        <v>0</v>
      </c>
      <c r="B90" s="13" t="s">
        <v>0</v>
      </c>
      <c r="C90" s="13" t="s">
        <v>47</v>
      </c>
      <c r="D90" s="13" t="s">
        <v>8</v>
      </c>
      <c r="E90" s="74">
        <f>1.63</f>
        <v>1.63</v>
      </c>
      <c r="F90" s="75">
        <f>'Gia NC,CM'!P10</f>
        <v>252200</v>
      </c>
      <c r="G90" s="76">
        <f>ROUND(E90*F90,5)</f>
        <v>411086</v>
      </c>
    </row>
    <row r="91" spans="1:7" ht="15.75">
      <c r="A91" s="12" t="s">
        <v>0</v>
      </c>
      <c r="B91" s="13" t="s">
        <v>0</v>
      </c>
      <c r="C91" s="13" t="s">
        <v>371</v>
      </c>
      <c r="D91" s="13" t="s">
        <v>0</v>
      </c>
      <c r="E91" s="74"/>
      <c r="F91" s="75"/>
      <c r="G91" s="77">
        <f>ROUND(SUM(G92:G94),5)</f>
        <v>216825.93</v>
      </c>
    </row>
    <row r="92" spans="1:7" ht="15">
      <c r="A92" s="12" t="s">
        <v>0</v>
      </c>
      <c r="B92" s="13" t="s">
        <v>0</v>
      </c>
      <c r="C92" s="13" t="s">
        <v>59</v>
      </c>
      <c r="D92" s="13" t="s">
        <v>10</v>
      </c>
      <c r="E92" s="74">
        <f>0.15</f>
        <v>0.15</v>
      </c>
      <c r="F92" s="75">
        <f>'Gia NC,CM'!P11</f>
        <v>1445506.2</v>
      </c>
      <c r="G92" s="76">
        <f>ROUND(E92*F92,5)</f>
        <v>216825.93</v>
      </c>
    </row>
    <row r="93" spans="1:7" ht="15">
      <c r="A93" s="12" t="s">
        <v>0</v>
      </c>
      <c r="B93" s="13" t="s">
        <v>0</v>
      </c>
      <c r="C93" s="13" t="s">
        <v>0</v>
      </c>
      <c r="D93" s="13" t="s">
        <v>0</v>
      </c>
      <c r="E93" s="74"/>
      <c r="F93" s="75"/>
      <c r="G93" s="76"/>
    </row>
    <row r="94" spans="1:7" ht="15">
      <c r="A94" s="12" t="s">
        <v>64</v>
      </c>
      <c r="B94" s="13" t="s">
        <v>65</v>
      </c>
      <c r="C94" s="13" t="s">
        <v>66</v>
      </c>
      <c r="D94" s="13" t="s">
        <v>56</v>
      </c>
      <c r="E94" s="74"/>
      <c r="F94" s="75"/>
      <c r="G94" s="76"/>
    </row>
    <row r="95" spans="1:7" ht="15.75">
      <c r="A95" s="12" t="s">
        <v>0</v>
      </c>
      <c r="B95" s="13" t="s">
        <v>0</v>
      </c>
      <c r="C95" s="13" t="s">
        <v>369</v>
      </c>
      <c r="D95" s="13" t="s">
        <v>0</v>
      </c>
      <c r="E95" s="74"/>
      <c r="F95" s="75"/>
      <c r="G95" s="77">
        <f>ROUND(SUM(G96:G96),5)</f>
        <v>4416000</v>
      </c>
    </row>
    <row r="96" spans="1:7" ht="15">
      <c r="A96" s="12" t="s">
        <v>0</v>
      </c>
      <c r="B96" s="13" t="s">
        <v>0</v>
      </c>
      <c r="C96" s="13" t="s">
        <v>67</v>
      </c>
      <c r="D96" s="13" t="s">
        <v>58</v>
      </c>
      <c r="E96" s="74">
        <f>1</f>
        <v>1</v>
      </c>
      <c r="F96" s="75">
        <f>'Gia VL'!Q20</f>
        <v>4416000</v>
      </c>
      <c r="G96" s="76">
        <f>ROUND(E96*F96,5)</f>
        <v>4416000</v>
      </c>
    </row>
    <row r="97" spans="1:7" ht="15.75">
      <c r="A97" s="12" t="s">
        <v>0</v>
      </c>
      <c r="B97" s="13" t="s">
        <v>0</v>
      </c>
      <c r="C97" s="13" t="s">
        <v>370</v>
      </c>
      <c r="D97" s="13" t="s">
        <v>0</v>
      </c>
      <c r="E97" s="74"/>
      <c r="F97" s="75"/>
      <c r="G97" s="77">
        <f>ROUND(SUM(G98:G98),5)</f>
        <v>411086</v>
      </c>
    </row>
    <row r="98" spans="1:7" ht="15">
      <c r="A98" s="12" t="s">
        <v>0</v>
      </c>
      <c r="B98" s="13" t="s">
        <v>0</v>
      </c>
      <c r="C98" s="13" t="s">
        <v>47</v>
      </c>
      <c r="D98" s="13" t="s">
        <v>8</v>
      </c>
      <c r="E98" s="74">
        <f>1.63</f>
        <v>1.63</v>
      </c>
      <c r="F98" s="75">
        <f>'Gia NC,CM'!P10</f>
        <v>252200</v>
      </c>
      <c r="G98" s="76">
        <f>ROUND(E98*F98,5)</f>
        <v>411086</v>
      </c>
    </row>
    <row r="99" spans="1:7" ht="15.75">
      <c r="A99" s="12" t="s">
        <v>0</v>
      </c>
      <c r="B99" s="13" t="s">
        <v>0</v>
      </c>
      <c r="C99" s="13" t="s">
        <v>371</v>
      </c>
      <c r="D99" s="13" t="s">
        <v>0</v>
      </c>
      <c r="E99" s="74"/>
      <c r="F99" s="75"/>
      <c r="G99" s="77">
        <f>ROUND(SUM(G100:G102),5)</f>
        <v>216825.93</v>
      </c>
    </row>
    <row r="100" spans="1:7" ht="15">
      <c r="A100" s="12" t="s">
        <v>0</v>
      </c>
      <c r="B100" s="13" t="s">
        <v>0</v>
      </c>
      <c r="C100" s="13" t="s">
        <v>59</v>
      </c>
      <c r="D100" s="13" t="s">
        <v>10</v>
      </c>
      <c r="E100" s="74">
        <f>0.15</f>
        <v>0.15</v>
      </c>
      <c r="F100" s="75">
        <f>'Gia NC,CM'!P11</f>
        <v>1445506.2</v>
      </c>
      <c r="G100" s="76">
        <f>ROUND(E100*F100,5)</f>
        <v>216825.93</v>
      </c>
    </row>
    <row r="101" spans="1:7" ht="15">
      <c r="A101" s="12" t="s">
        <v>0</v>
      </c>
      <c r="B101" s="13" t="s">
        <v>0</v>
      </c>
      <c r="C101" s="13" t="s">
        <v>0</v>
      </c>
      <c r="D101" s="13" t="s">
        <v>0</v>
      </c>
      <c r="E101" s="74"/>
      <c r="F101" s="75"/>
      <c r="G101" s="76"/>
    </row>
    <row r="102" spans="1:7" ht="15">
      <c r="A102" s="12" t="s">
        <v>68</v>
      </c>
      <c r="B102" s="13" t="s">
        <v>69</v>
      </c>
      <c r="C102" s="13" t="s">
        <v>70</v>
      </c>
      <c r="D102" s="13" t="s">
        <v>71</v>
      </c>
      <c r="E102" s="74"/>
      <c r="F102" s="75"/>
      <c r="G102" s="76"/>
    </row>
    <row r="103" spans="1:7" ht="15.75">
      <c r="A103" s="12" t="s">
        <v>0</v>
      </c>
      <c r="B103" s="13" t="s">
        <v>0</v>
      </c>
      <c r="C103" s="13" t="s">
        <v>369</v>
      </c>
      <c r="D103" s="13" t="s">
        <v>0</v>
      </c>
      <c r="E103" s="74"/>
      <c r="F103" s="75"/>
      <c r="G103" s="77">
        <f>ROUND(SUM(G104:G105),5)</f>
        <v>1455741</v>
      </c>
    </row>
    <row r="104" spans="1:7" ht="15">
      <c r="A104" s="12" t="s">
        <v>0</v>
      </c>
      <c r="B104" s="13" t="s">
        <v>0</v>
      </c>
      <c r="C104" s="13" t="s">
        <v>72</v>
      </c>
      <c r="D104" s="13" t="s">
        <v>73</v>
      </c>
      <c r="E104" s="74">
        <f>1</f>
        <v>1</v>
      </c>
      <c r="F104" s="75">
        <f>'Gia VL'!Q17</f>
        <v>698289</v>
      </c>
      <c r="G104" s="76">
        <f>ROUND(E104*F104,5)</f>
        <v>698289</v>
      </c>
    </row>
    <row r="105" spans="1:7" ht="15">
      <c r="A105" s="12" t="s">
        <v>0</v>
      </c>
      <c r="B105" s="13" t="s">
        <v>0</v>
      </c>
      <c r="C105" s="13" t="s">
        <v>74</v>
      </c>
      <c r="D105" s="13" t="s">
        <v>75</v>
      </c>
      <c r="E105" s="74">
        <f>1</f>
        <v>1</v>
      </c>
      <c r="F105" s="75">
        <f>'Gia VL'!Q39</f>
        <v>757452</v>
      </c>
      <c r="G105" s="76">
        <f>ROUND(E105*F105,5)</f>
        <v>757452</v>
      </c>
    </row>
    <row r="106" spans="1:7" ht="15.75">
      <c r="A106" s="12" t="s">
        <v>0</v>
      </c>
      <c r="B106" s="13" t="s">
        <v>0</v>
      </c>
      <c r="C106" s="13" t="s">
        <v>370</v>
      </c>
      <c r="D106" s="13" t="s">
        <v>0</v>
      </c>
      <c r="E106" s="74"/>
      <c r="F106" s="75"/>
      <c r="G106" s="77">
        <f>ROUND(SUM(G107:G107),5)</f>
        <v>189150</v>
      </c>
    </row>
    <row r="107" spans="1:7" ht="15">
      <c r="A107" s="12" t="s">
        <v>0</v>
      </c>
      <c r="B107" s="13" t="s">
        <v>0</v>
      </c>
      <c r="C107" s="13" t="s">
        <v>47</v>
      </c>
      <c r="D107" s="13" t="s">
        <v>8</v>
      </c>
      <c r="E107" s="74">
        <f>0.75</f>
        <v>0.75</v>
      </c>
      <c r="F107" s="75">
        <f>'Gia NC,CM'!P10</f>
        <v>252200</v>
      </c>
      <c r="G107" s="76">
        <f>ROUND(E107*F107,5)</f>
        <v>189150</v>
      </c>
    </row>
    <row r="108" spans="1:7" ht="15.75">
      <c r="A108" s="12" t="s">
        <v>0</v>
      </c>
      <c r="B108" s="13" t="s">
        <v>0</v>
      </c>
      <c r="C108" s="13" t="s">
        <v>371</v>
      </c>
      <c r="D108" s="13" t="s">
        <v>0</v>
      </c>
      <c r="E108" s="74"/>
      <c r="F108" s="75"/>
      <c r="G108" s="77">
        <f>ROUND(SUM(G109:G111),5)</f>
        <v>257774.808</v>
      </c>
    </row>
    <row r="109" spans="1:7" ht="15">
      <c r="A109" s="12" t="s">
        <v>0</v>
      </c>
      <c r="B109" s="13" t="s">
        <v>0</v>
      </c>
      <c r="C109" s="13" t="s">
        <v>76</v>
      </c>
      <c r="D109" s="13" t="s">
        <v>10</v>
      </c>
      <c r="E109" s="74">
        <f>0.17</f>
        <v>0.17</v>
      </c>
      <c r="F109" s="75">
        <f>'Gia NC,CM'!P18</f>
        <v>1516322.4</v>
      </c>
      <c r="G109" s="76">
        <f>ROUND(E109*F109,5)</f>
        <v>257774.808</v>
      </c>
    </row>
    <row r="110" spans="1:7" ht="15">
      <c r="A110" s="12" t="s">
        <v>0</v>
      </c>
      <c r="B110" s="13" t="s">
        <v>0</v>
      </c>
      <c r="C110" s="13" t="s">
        <v>0</v>
      </c>
      <c r="D110" s="13" t="s">
        <v>0</v>
      </c>
      <c r="E110" s="74"/>
      <c r="F110" s="75"/>
      <c r="G110" s="76"/>
    </row>
    <row r="111" spans="1:7" ht="15">
      <c r="A111" s="12" t="s">
        <v>77</v>
      </c>
      <c r="B111" s="13" t="s">
        <v>78</v>
      </c>
      <c r="C111" s="13" t="s">
        <v>79</v>
      </c>
      <c r="D111" s="13" t="s">
        <v>71</v>
      </c>
      <c r="E111" s="74"/>
      <c r="F111" s="75"/>
      <c r="G111" s="76"/>
    </row>
    <row r="112" spans="1:7" ht="15.75">
      <c r="A112" s="12" t="s">
        <v>0</v>
      </c>
      <c r="B112" s="13" t="s">
        <v>0</v>
      </c>
      <c r="C112" s="13" t="s">
        <v>369</v>
      </c>
      <c r="D112" s="13" t="s">
        <v>0</v>
      </c>
      <c r="E112" s="74"/>
      <c r="F112" s="75"/>
      <c r="G112" s="77">
        <f>ROUND(SUM(G113:G114),5)</f>
        <v>1537819</v>
      </c>
    </row>
    <row r="113" spans="1:7" ht="15">
      <c r="A113" s="12" t="s">
        <v>0</v>
      </c>
      <c r="B113" s="13" t="s">
        <v>0</v>
      </c>
      <c r="C113" s="13" t="s">
        <v>80</v>
      </c>
      <c r="D113" s="13" t="s">
        <v>73</v>
      </c>
      <c r="E113" s="74">
        <f>1</f>
        <v>1</v>
      </c>
      <c r="F113" s="75">
        <f>'Gia VL'!Q18</f>
        <v>780367</v>
      </c>
      <c r="G113" s="76">
        <f>ROUND(E113*F113,5)</f>
        <v>780367</v>
      </c>
    </row>
    <row r="114" spans="1:7" ht="15">
      <c r="A114" s="12" t="s">
        <v>0</v>
      </c>
      <c r="B114" s="13" t="s">
        <v>0</v>
      </c>
      <c r="C114" s="13" t="s">
        <v>74</v>
      </c>
      <c r="D114" s="13" t="s">
        <v>75</v>
      </c>
      <c r="E114" s="74">
        <f>1</f>
        <v>1</v>
      </c>
      <c r="F114" s="75">
        <f>'Gia VL'!Q39</f>
        <v>757452</v>
      </c>
      <c r="G114" s="76">
        <f>ROUND(E114*F114,5)</f>
        <v>757452</v>
      </c>
    </row>
    <row r="115" spans="1:7" ht="15.75">
      <c r="A115" s="12" t="s">
        <v>0</v>
      </c>
      <c r="B115" s="13" t="s">
        <v>0</v>
      </c>
      <c r="C115" s="13" t="s">
        <v>370</v>
      </c>
      <c r="D115" s="13" t="s">
        <v>0</v>
      </c>
      <c r="E115" s="74"/>
      <c r="F115" s="75"/>
      <c r="G115" s="77">
        <f>ROUND(SUM(G116:G116),5)</f>
        <v>189150</v>
      </c>
    </row>
    <row r="116" spans="1:7" ht="15">
      <c r="A116" s="12" t="s">
        <v>0</v>
      </c>
      <c r="B116" s="13" t="s">
        <v>0</v>
      </c>
      <c r="C116" s="13" t="s">
        <v>47</v>
      </c>
      <c r="D116" s="13" t="s">
        <v>8</v>
      </c>
      <c r="E116" s="74">
        <f>0.75</f>
        <v>0.75</v>
      </c>
      <c r="F116" s="75">
        <f>'Gia NC,CM'!P10</f>
        <v>252200</v>
      </c>
      <c r="G116" s="76">
        <f>ROUND(E116*F116,5)</f>
        <v>189150</v>
      </c>
    </row>
    <row r="117" spans="1:7" ht="15.75">
      <c r="A117" s="12" t="s">
        <v>0</v>
      </c>
      <c r="B117" s="13" t="s">
        <v>0</v>
      </c>
      <c r="C117" s="13" t="s">
        <v>371</v>
      </c>
      <c r="D117" s="13" t="s">
        <v>0</v>
      </c>
      <c r="E117" s="74"/>
      <c r="F117" s="75"/>
      <c r="G117" s="77">
        <f>ROUND(SUM(G118:G120),5)</f>
        <v>257774.808</v>
      </c>
    </row>
    <row r="118" spans="1:7" ht="15">
      <c r="A118" s="12" t="s">
        <v>0</v>
      </c>
      <c r="B118" s="13" t="s">
        <v>0</v>
      </c>
      <c r="C118" s="13" t="s">
        <v>76</v>
      </c>
      <c r="D118" s="13" t="s">
        <v>10</v>
      </c>
      <c r="E118" s="74">
        <f>0.17</f>
        <v>0.17</v>
      </c>
      <c r="F118" s="75">
        <f>'Gia NC,CM'!P18</f>
        <v>1516322.4</v>
      </c>
      <c r="G118" s="76">
        <f>ROUND(E118*F118,5)</f>
        <v>257774.808</v>
      </c>
    </row>
    <row r="119" spans="1:7" ht="15">
      <c r="A119" s="12" t="s">
        <v>0</v>
      </c>
      <c r="B119" s="13" t="s">
        <v>0</v>
      </c>
      <c r="C119" s="13" t="s">
        <v>0</v>
      </c>
      <c r="D119" s="13" t="s">
        <v>0</v>
      </c>
      <c r="E119" s="74"/>
      <c r="F119" s="75"/>
      <c r="G119" s="76"/>
    </row>
    <row r="120" spans="1:7" ht="15">
      <c r="A120" s="12" t="s">
        <v>81</v>
      </c>
      <c r="B120" s="13" t="s">
        <v>82</v>
      </c>
      <c r="C120" s="13" t="s">
        <v>83</v>
      </c>
      <c r="D120" s="13" t="s">
        <v>71</v>
      </c>
      <c r="E120" s="74"/>
      <c r="F120" s="75"/>
      <c r="G120" s="76"/>
    </row>
    <row r="121" spans="1:7" ht="15.75">
      <c r="A121" s="12" t="s">
        <v>0</v>
      </c>
      <c r="B121" s="13" t="s">
        <v>0</v>
      </c>
      <c r="C121" s="13" t="s">
        <v>369</v>
      </c>
      <c r="D121" s="13" t="s">
        <v>0</v>
      </c>
      <c r="E121" s="74"/>
      <c r="F121" s="75"/>
      <c r="G121" s="77">
        <f>ROUND(SUM(G122:G123),5)</f>
        <v>1632018</v>
      </c>
    </row>
    <row r="122" spans="1:7" ht="15">
      <c r="A122" s="12" t="s">
        <v>0</v>
      </c>
      <c r="B122" s="13" t="s">
        <v>0</v>
      </c>
      <c r="C122" s="13" t="s">
        <v>84</v>
      </c>
      <c r="D122" s="13" t="s">
        <v>73</v>
      </c>
      <c r="E122" s="74">
        <f>1</f>
        <v>1</v>
      </c>
      <c r="F122" s="75">
        <f>'Gia VL'!Q19</f>
        <v>874566</v>
      </c>
      <c r="G122" s="76">
        <f>ROUND(E122*F122,5)</f>
        <v>874566</v>
      </c>
    </row>
    <row r="123" spans="1:7" ht="15">
      <c r="A123" s="12" t="s">
        <v>0</v>
      </c>
      <c r="B123" s="13" t="s">
        <v>0</v>
      </c>
      <c r="C123" s="13" t="s">
        <v>74</v>
      </c>
      <c r="D123" s="13" t="s">
        <v>75</v>
      </c>
      <c r="E123" s="74">
        <f>1</f>
        <v>1</v>
      </c>
      <c r="F123" s="75">
        <f>'Gia VL'!Q39</f>
        <v>757452</v>
      </c>
      <c r="G123" s="76">
        <f>ROUND(E123*F123,5)</f>
        <v>757452</v>
      </c>
    </row>
    <row r="124" spans="1:7" ht="15.75">
      <c r="A124" s="12" t="s">
        <v>0</v>
      </c>
      <c r="B124" s="13" t="s">
        <v>0</v>
      </c>
      <c r="C124" s="13" t="s">
        <v>370</v>
      </c>
      <c r="D124" s="13" t="s">
        <v>0</v>
      </c>
      <c r="E124" s="74"/>
      <c r="F124" s="75"/>
      <c r="G124" s="77">
        <f>ROUND(SUM(G125:G125),5)</f>
        <v>189150</v>
      </c>
    </row>
    <row r="125" spans="1:7" ht="15">
      <c r="A125" s="12" t="s">
        <v>0</v>
      </c>
      <c r="B125" s="13" t="s">
        <v>0</v>
      </c>
      <c r="C125" s="13" t="s">
        <v>47</v>
      </c>
      <c r="D125" s="13" t="s">
        <v>8</v>
      </c>
      <c r="E125" s="74">
        <f>0.75</f>
        <v>0.75</v>
      </c>
      <c r="F125" s="75">
        <f>'Gia NC,CM'!P10</f>
        <v>252200</v>
      </c>
      <c r="G125" s="76">
        <f>ROUND(E125*F125,5)</f>
        <v>189150</v>
      </c>
    </row>
    <row r="126" spans="1:7" ht="15.75">
      <c r="A126" s="12" t="s">
        <v>0</v>
      </c>
      <c r="B126" s="13" t="s">
        <v>0</v>
      </c>
      <c r="C126" s="13" t="s">
        <v>371</v>
      </c>
      <c r="D126" s="13" t="s">
        <v>0</v>
      </c>
      <c r="E126" s="74"/>
      <c r="F126" s="75"/>
      <c r="G126" s="77">
        <f>ROUND(SUM(G127:G129),5)</f>
        <v>257774.808</v>
      </c>
    </row>
    <row r="127" spans="1:7" ht="15">
      <c r="A127" s="12" t="s">
        <v>0</v>
      </c>
      <c r="B127" s="13" t="s">
        <v>0</v>
      </c>
      <c r="C127" s="13" t="s">
        <v>76</v>
      </c>
      <c r="D127" s="13" t="s">
        <v>10</v>
      </c>
      <c r="E127" s="74">
        <f>0.17</f>
        <v>0.17</v>
      </c>
      <c r="F127" s="75">
        <f>'Gia NC,CM'!P18</f>
        <v>1516322.4</v>
      </c>
      <c r="G127" s="76">
        <f>ROUND(E127*F127,5)</f>
        <v>257774.808</v>
      </c>
    </row>
    <row r="128" spans="1:7" ht="15">
      <c r="A128" s="12" t="s">
        <v>0</v>
      </c>
      <c r="B128" s="13" t="s">
        <v>0</v>
      </c>
      <c r="C128" s="13" t="s">
        <v>0</v>
      </c>
      <c r="D128" s="13" t="s">
        <v>0</v>
      </c>
      <c r="E128" s="74"/>
      <c r="F128" s="75"/>
      <c r="G128" s="76"/>
    </row>
    <row r="129" spans="1:7" ht="15">
      <c r="A129" s="12" t="s">
        <v>85</v>
      </c>
      <c r="B129" s="13" t="s">
        <v>86</v>
      </c>
      <c r="C129" s="13" t="s">
        <v>87</v>
      </c>
      <c r="D129" s="13" t="s">
        <v>88</v>
      </c>
      <c r="E129" s="74"/>
      <c r="F129" s="75"/>
      <c r="G129" s="76"/>
    </row>
    <row r="130" spans="1:7" ht="15.75">
      <c r="A130" s="12" t="s">
        <v>0</v>
      </c>
      <c r="B130" s="13" t="s">
        <v>0</v>
      </c>
      <c r="C130" s="13" t="s">
        <v>369</v>
      </c>
      <c r="D130" s="13" t="s">
        <v>0</v>
      </c>
      <c r="E130" s="74"/>
      <c r="F130" s="75"/>
      <c r="G130" s="77">
        <f>ROUND(SUM(G131:G131),5)</f>
        <v>5600468</v>
      </c>
    </row>
    <row r="131" spans="1:7" ht="15">
      <c r="A131" s="12" t="s">
        <v>0</v>
      </c>
      <c r="B131" s="13" t="s">
        <v>0</v>
      </c>
      <c r="C131" s="13" t="s">
        <v>89</v>
      </c>
      <c r="D131" s="13" t="s">
        <v>73</v>
      </c>
      <c r="E131" s="74">
        <f>1</f>
        <v>1</v>
      </c>
      <c r="F131" s="75">
        <f>'Gia VL'!Q68</f>
        <v>5600468</v>
      </c>
      <c r="G131" s="76">
        <f>ROUND(E131*F131,5)</f>
        <v>5600468</v>
      </c>
    </row>
    <row r="132" spans="1:7" ht="15.75">
      <c r="A132" s="12" t="s">
        <v>0</v>
      </c>
      <c r="B132" s="13" t="s">
        <v>0</v>
      </c>
      <c r="C132" s="13" t="s">
        <v>370</v>
      </c>
      <c r="D132" s="13" t="s">
        <v>0</v>
      </c>
      <c r="E132" s="74"/>
      <c r="F132" s="75"/>
      <c r="G132" s="77">
        <f>ROUND(SUM(G133:G133),5)</f>
        <v>65572</v>
      </c>
    </row>
    <row r="133" spans="1:7" ht="15">
      <c r="A133" s="12" t="s">
        <v>0</v>
      </c>
      <c r="B133" s="13" t="s">
        <v>0</v>
      </c>
      <c r="C133" s="13" t="s">
        <v>47</v>
      </c>
      <c r="D133" s="13" t="s">
        <v>8</v>
      </c>
      <c r="E133" s="74">
        <f>0.26</f>
        <v>0.26</v>
      </c>
      <c r="F133" s="75">
        <f>'Gia NC,CM'!P10</f>
        <v>252200</v>
      </c>
      <c r="G133" s="76">
        <f>ROUND(E133*F133,5)</f>
        <v>65572</v>
      </c>
    </row>
    <row r="134" spans="1:7" ht="15.75">
      <c r="A134" s="12" t="s">
        <v>0</v>
      </c>
      <c r="B134" s="13" t="s">
        <v>0</v>
      </c>
      <c r="C134" s="13" t="s">
        <v>371</v>
      </c>
      <c r="D134" s="13" t="s">
        <v>0</v>
      </c>
      <c r="E134" s="74"/>
      <c r="F134" s="75"/>
      <c r="G134" s="77">
        <f>ROUND(SUM(G135:G137),5)</f>
        <v>197121.912</v>
      </c>
    </row>
    <row r="135" spans="1:7" ht="15">
      <c r="A135" s="12" t="s">
        <v>0</v>
      </c>
      <c r="B135" s="13" t="s">
        <v>0</v>
      </c>
      <c r="C135" s="13" t="s">
        <v>76</v>
      </c>
      <c r="D135" s="13" t="s">
        <v>10</v>
      </c>
      <c r="E135" s="74">
        <f>0.13</f>
        <v>0.13</v>
      </c>
      <c r="F135" s="75">
        <f>'Gia NC,CM'!P18</f>
        <v>1516322.4</v>
      </c>
      <c r="G135" s="76">
        <f>ROUND(E135*F135,5)</f>
        <v>197121.912</v>
      </c>
    </row>
    <row r="136" spans="1:7" ht="15">
      <c r="A136" s="12" t="s">
        <v>0</v>
      </c>
      <c r="B136" s="13" t="s">
        <v>0</v>
      </c>
      <c r="C136" s="13" t="s">
        <v>0</v>
      </c>
      <c r="D136" s="13" t="s">
        <v>0</v>
      </c>
      <c r="E136" s="74"/>
      <c r="F136" s="75"/>
      <c r="G136" s="76"/>
    </row>
    <row r="137" spans="1:7" ht="15">
      <c r="A137" s="12" t="s">
        <v>90</v>
      </c>
      <c r="B137" s="13" t="s">
        <v>91</v>
      </c>
      <c r="C137" s="13" t="s">
        <v>92</v>
      </c>
      <c r="D137" s="13" t="s">
        <v>93</v>
      </c>
      <c r="E137" s="74"/>
      <c r="F137" s="75"/>
      <c r="G137" s="76"/>
    </row>
    <row r="138" spans="1:7" ht="15.75">
      <c r="A138" s="12" t="s">
        <v>0</v>
      </c>
      <c r="B138" s="13" t="s">
        <v>0</v>
      </c>
      <c r="C138" s="13" t="s">
        <v>369</v>
      </c>
      <c r="D138" s="13" t="s">
        <v>0</v>
      </c>
      <c r="E138" s="74"/>
      <c r="F138" s="75"/>
      <c r="G138" s="77">
        <f>ROUND(SUM(G139:G141),5)</f>
        <v>18248206</v>
      </c>
    </row>
    <row r="139" spans="1:7" ht="15">
      <c r="A139" s="12" t="s">
        <v>0</v>
      </c>
      <c r="B139" s="13" t="s">
        <v>0</v>
      </c>
      <c r="C139" s="13" t="s">
        <v>94</v>
      </c>
      <c r="D139" s="13" t="s">
        <v>73</v>
      </c>
      <c r="E139" s="74">
        <f>1</f>
        <v>1</v>
      </c>
      <c r="F139" s="75">
        <f>'Gia VL'!Q41</f>
        <v>17029950</v>
      </c>
      <c r="G139" s="76">
        <f>ROUND(E139*F139,5)</f>
        <v>17029950</v>
      </c>
    </row>
    <row r="140" spans="1:7" ht="15">
      <c r="A140" s="12" t="s">
        <v>0</v>
      </c>
      <c r="B140" s="13" t="s">
        <v>0</v>
      </c>
      <c r="C140" s="13" t="s">
        <v>95</v>
      </c>
      <c r="D140" s="13" t="s">
        <v>73</v>
      </c>
      <c r="E140" s="74">
        <f>1</f>
        <v>1</v>
      </c>
      <c r="F140" s="75">
        <f>'Gia VL'!Q46</f>
        <v>1070765</v>
      </c>
      <c r="G140" s="76">
        <f>ROUND(E140*F140,5)</f>
        <v>1070765</v>
      </c>
    </row>
    <row r="141" spans="1:7" ht="15">
      <c r="A141" s="12" t="s">
        <v>0</v>
      </c>
      <c r="B141" s="13" t="s">
        <v>0</v>
      </c>
      <c r="C141" s="13" t="s">
        <v>96</v>
      </c>
      <c r="D141" s="13" t="s">
        <v>73</v>
      </c>
      <c r="E141" s="74">
        <f>1</f>
        <v>1</v>
      </c>
      <c r="F141" s="75">
        <f>'Gia VL'!Q27</f>
        <v>147491</v>
      </c>
      <c r="G141" s="76">
        <f>ROUND(E141*F141,5)</f>
        <v>147491</v>
      </c>
    </row>
    <row r="142" spans="1:7" ht="15.75">
      <c r="A142" s="12" t="s">
        <v>0</v>
      </c>
      <c r="B142" s="13" t="s">
        <v>0</v>
      </c>
      <c r="C142" s="13" t="s">
        <v>370</v>
      </c>
      <c r="D142" s="13" t="s">
        <v>0</v>
      </c>
      <c r="E142" s="74"/>
      <c r="F142" s="75"/>
      <c r="G142" s="77">
        <f>ROUND(SUM(G143:G145),5)</f>
        <v>385866</v>
      </c>
    </row>
    <row r="143" spans="1:7" ht="15">
      <c r="A143" s="12" t="s">
        <v>0</v>
      </c>
      <c r="B143" s="13" t="s">
        <v>0</v>
      </c>
      <c r="C143" s="13" t="s">
        <v>47</v>
      </c>
      <c r="D143" s="13" t="s">
        <v>8</v>
      </c>
      <c r="E143" s="74">
        <f>1.53</f>
        <v>1.53</v>
      </c>
      <c r="F143" s="75">
        <f>'Gia NC,CM'!P10</f>
        <v>252200</v>
      </c>
      <c r="G143" s="76">
        <f>ROUND(E143*F143,5)</f>
        <v>385866</v>
      </c>
    </row>
    <row r="144" spans="1:7" ht="15">
      <c r="A144" s="12" t="s">
        <v>0</v>
      </c>
      <c r="B144" s="13" t="s">
        <v>0</v>
      </c>
      <c r="C144" s="13" t="s">
        <v>0</v>
      </c>
      <c r="D144" s="13" t="s">
        <v>0</v>
      </c>
      <c r="E144" s="74"/>
      <c r="F144" s="75"/>
      <c r="G144" s="76"/>
    </row>
    <row r="145" spans="1:7" ht="15">
      <c r="A145" s="12" t="s">
        <v>97</v>
      </c>
      <c r="B145" s="13" t="s">
        <v>98</v>
      </c>
      <c r="C145" s="13" t="s">
        <v>99</v>
      </c>
      <c r="D145" s="13" t="s">
        <v>88</v>
      </c>
      <c r="E145" s="74"/>
      <c r="F145" s="75"/>
      <c r="G145" s="76"/>
    </row>
    <row r="146" spans="1:7" ht="15.75">
      <c r="A146" s="12" t="s">
        <v>0</v>
      </c>
      <c r="B146" s="13" t="s">
        <v>0</v>
      </c>
      <c r="C146" s="13" t="s">
        <v>369</v>
      </c>
      <c r="D146" s="13" t="s">
        <v>0</v>
      </c>
      <c r="E146" s="74"/>
      <c r="F146" s="75"/>
      <c r="G146" s="77">
        <f>ROUND(SUM(G147:G149),5)</f>
        <v>98506.4856</v>
      </c>
    </row>
    <row r="147" spans="1:7" ht="15">
      <c r="A147" s="12" t="s">
        <v>0</v>
      </c>
      <c r="B147" s="13" t="s">
        <v>0</v>
      </c>
      <c r="C147" s="13" t="s">
        <v>100</v>
      </c>
      <c r="D147" s="13" t="s">
        <v>19</v>
      </c>
      <c r="E147" s="74">
        <f>67.9</f>
        <v>67.9</v>
      </c>
      <c r="F147" s="75">
        <f>ROUND('Gia VL'!Q40/1000,5)</f>
        <v>41.664</v>
      </c>
      <c r="G147" s="76">
        <f>ROUND(E147*F147,5)</f>
        <v>2828.9856</v>
      </c>
    </row>
    <row r="148" spans="1:7" ht="15">
      <c r="A148" s="12" t="s">
        <v>0</v>
      </c>
      <c r="B148" s="13" t="s">
        <v>0</v>
      </c>
      <c r="C148" s="13" t="s">
        <v>101</v>
      </c>
      <c r="D148" s="13" t="s">
        <v>75</v>
      </c>
      <c r="E148" s="74">
        <f>2</f>
        <v>2</v>
      </c>
      <c r="F148" s="75">
        <f>'Gia VL'!Q65</f>
        <v>9250</v>
      </c>
      <c r="G148" s="76">
        <f>ROUND(E148*F148,5)</f>
        <v>18500</v>
      </c>
    </row>
    <row r="149" spans="1:7" ht="15">
      <c r="A149" s="12" t="s">
        <v>0</v>
      </c>
      <c r="B149" s="13" t="s">
        <v>0</v>
      </c>
      <c r="C149" s="13" t="s">
        <v>102</v>
      </c>
      <c r="D149" s="13" t="s">
        <v>103</v>
      </c>
      <c r="E149" s="74">
        <f>2.5</f>
        <v>2.5</v>
      </c>
      <c r="F149" s="75">
        <f>'Gia VL'!Q25</f>
        <v>30871</v>
      </c>
      <c r="G149" s="76">
        <f>ROUND(E149*F149,5)</f>
        <v>77177.5</v>
      </c>
    </row>
    <row r="150" spans="1:7" ht="15.75">
      <c r="A150" s="12" t="s">
        <v>0</v>
      </c>
      <c r="B150" s="13" t="s">
        <v>0</v>
      </c>
      <c r="C150" s="13" t="s">
        <v>370</v>
      </c>
      <c r="D150" s="13" t="s">
        <v>0</v>
      </c>
      <c r="E150" s="74"/>
      <c r="F150" s="75"/>
      <c r="G150" s="77">
        <f>ROUND(SUM(G151:G151),5)</f>
        <v>83226</v>
      </c>
    </row>
    <row r="151" spans="1:7" ht="15">
      <c r="A151" s="12" t="s">
        <v>0</v>
      </c>
      <c r="B151" s="13" t="s">
        <v>0</v>
      </c>
      <c r="C151" s="13" t="s">
        <v>47</v>
      </c>
      <c r="D151" s="13" t="s">
        <v>8</v>
      </c>
      <c r="E151" s="74">
        <f>0.33</f>
        <v>0.33</v>
      </c>
      <c r="F151" s="75">
        <f>'Gia NC,CM'!P10</f>
        <v>252200</v>
      </c>
      <c r="G151" s="76">
        <f>ROUND(E151*F151,5)</f>
        <v>83226</v>
      </c>
    </row>
    <row r="152" spans="1:7" ht="15.75">
      <c r="A152" s="12" t="s">
        <v>0</v>
      </c>
      <c r="B152" s="13" t="s">
        <v>0</v>
      </c>
      <c r="C152" s="13" t="s">
        <v>371</v>
      </c>
      <c r="D152" s="13" t="s">
        <v>0</v>
      </c>
      <c r="E152" s="74"/>
      <c r="F152" s="75"/>
      <c r="G152" s="77">
        <f>ROUND(SUM(G153:G157),5)</f>
        <v>350273.85</v>
      </c>
    </row>
    <row r="153" spans="1:7" ht="15">
      <c r="A153" s="12" t="s">
        <v>0</v>
      </c>
      <c r="B153" s="13" t="s">
        <v>0</v>
      </c>
      <c r="C153" s="13" t="s">
        <v>104</v>
      </c>
      <c r="D153" s="13" t="s">
        <v>10</v>
      </c>
      <c r="E153" s="74">
        <f>0.3</f>
        <v>0.3</v>
      </c>
      <c r="F153" s="75">
        <f>'Gia NC,CM'!P12</f>
        <v>409418.3</v>
      </c>
      <c r="G153" s="76">
        <f>ROUND(E153*F153,5)</f>
        <v>122825.49</v>
      </c>
    </row>
    <row r="154" spans="1:7" ht="15">
      <c r="A154" s="12" t="s">
        <v>0</v>
      </c>
      <c r="B154" s="13" t="s">
        <v>0</v>
      </c>
      <c r="C154" s="13" t="s">
        <v>105</v>
      </c>
      <c r="D154" s="13" t="s">
        <v>10</v>
      </c>
      <c r="E154" s="74">
        <f>0.15</f>
        <v>0.15</v>
      </c>
      <c r="F154" s="75">
        <f>'Gia NC,CM'!P19</f>
        <v>1516322.4</v>
      </c>
      <c r="G154" s="76">
        <f>ROUND(E154*F154,5)</f>
        <v>227448.36</v>
      </c>
    </row>
    <row r="155" spans="1:7" ht="15">
      <c r="A155" s="12" t="s">
        <v>0</v>
      </c>
      <c r="B155" s="13" t="s">
        <v>0</v>
      </c>
      <c r="C155" s="13" t="s">
        <v>0</v>
      </c>
      <c r="D155" s="13" t="s">
        <v>0</v>
      </c>
      <c r="E155" s="74"/>
      <c r="F155" s="75"/>
      <c r="G155" s="76"/>
    </row>
    <row r="156" spans="1:7" ht="15">
      <c r="A156" s="12" t="s">
        <v>106</v>
      </c>
      <c r="B156" s="13" t="s">
        <v>107</v>
      </c>
      <c r="C156" s="13" t="s">
        <v>108</v>
      </c>
      <c r="D156" s="13" t="s">
        <v>109</v>
      </c>
      <c r="E156" s="74"/>
      <c r="F156" s="75"/>
      <c r="G156" s="76"/>
    </row>
    <row r="157" spans="1:7" ht="15">
      <c r="A157" s="12" t="s">
        <v>0</v>
      </c>
      <c r="B157" s="13" t="s">
        <v>0</v>
      </c>
      <c r="C157" s="13" t="s">
        <v>110</v>
      </c>
      <c r="D157" s="13" t="s">
        <v>0</v>
      </c>
      <c r="E157" s="74"/>
      <c r="F157" s="75"/>
      <c r="G157" s="76"/>
    </row>
    <row r="158" spans="1:7" ht="15.75">
      <c r="A158" s="12" t="s">
        <v>0</v>
      </c>
      <c r="B158" s="13" t="s">
        <v>0</v>
      </c>
      <c r="C158" s="13" t="s">
        <v>369</v>
      </c>
      <c r="D158" s="13" t="s">
        <v>0</v>
      </c>
      <c r="E158" s="74"/>
      <c r="F158" s="75"/>
      <c r="G158" s="77">
        <f>ROUND(SUM(G159:G159),5)</f>
        <v>43185</v>
      </c>
    </row>
    <row r="159" spans="1:7" ht="15">
      <c r="A159" s="12" t="s">
        <v>0</v>
      </c>
      <c r="B159" s="13" t="s">
        <v>0</v>
      </c>
      <c r="C159" s="13" t="s">
        <v>111</v>
      </c>
      <c r="D159" s="13" t="s">
        <v>103</v>
      </c>
      <c r="E159" s="74">
        <f>1</f>
        <v>1</v>
      </c>
      <c r="F159" s="75">
        <f>'Gia VL'!Q24</f>
        <v>43185</v>
      </c>
      <c r="G159" s="76">
        <f>ROUND(E159*F159,5)</f>
        <v>43185</v>
      </c>
    </row>
    <row r="160" spans="1:7" ht="15.75">
      <c r="A160" s="12" t="s">
        <v>0</v>
      </c>
      <c r="B160" s="13" t="s">
        <v>0</v>
      </c>
      <c r="C160" s="13" t="s">
        <v>370</v>
      </c>
      <c r="D160" s="13" t="s">
        <v>0</v>
      </c>
      <c r="E160" s="74"/>
      <c r="F160" s="75"/>
      <c r="G160" s="77">
        <f>ROUND(SUM(G161:G161),5)</f>
        <v>2471.56</v>
      </c>
    </row>
    <row r="161" spans="1:7" ht="15">
      <c r="A161" s="12" t="s">
        <v>0</v>
      </c>
      <c r="B161" s="13" t="s">
        <v>0</v>
      </c>
      <c r="C161" s="13" t="s">
        <v>47</v>
      </c>
      <c r="D161" s="13" t="s">
        <v>8</v>
      </c>
      <c r="E161" s="74">
        <f>0.0098</f>
        <v>0.0098</v>
      </c>
      <c r="F161" s="75">
        <f>'Gia NC,CM'!P10</f>
        <v>252200</v>
      </c>
      <c r="G161" s="76">
        <f>ROUND(E161*F161,5)</f>
        <v>2471.56</v>
      </c>
    </row>
    <row r="162" spans="1:7" ht="15.75">
      <c r="A162" s="12" t="s">
        <v>0</v>
      </c>
      <c r="B162" s="13" t="s">
        <v>0</v>
      </c>
      <c r="C162" s="13" t="s">
        <v>371</v>
      </c>
      <c r="D162" s="13" t="s">
        <v>0</v>
      </c>
      <c r="E162" s="74"/>
      <c r="F162" s="75"/>
      <c r="G162" s="77">
        <f>ROUND(SUM(G163:G165),5)</f>
        <v>3790.806</v>
      </c>
    </row>
    <row r="163" spans="1:7" ht="15">
      <c r="A163" s="12" t="s">
        <v>0</v>
      </c>
      <c r="B163" s="13" t="s">
        <v>0</v>
      </c>
      <c r="C163" s="13" t="s">
        <v>76</v>
      </c>
      <c r="D163" s="13" t="s">
        <v>10</v>
      </c>
      <c r="E163" s="74">
        <f>0.0025</f>
        <v>0.0025</v>
      </c>
      <c r="F163" s="75">
        <f>'Gia NC,CM'!P18</f>
        <v>1516322.4</v>
      </c>
      <c r="G163" s="76">
        <f>ROUND(E163*F163,5)</f>
        <v>3790.806</v>
      </c>
    </row>
    <row r="164" spans="1:7" ht="15">
      <c r="A164" s="12" t="s">
        <v>0</v>
      </c>
      <c r="B164" s="13" t="s">
        <v>0</v>
      </c>
      <c r="C164" s="13" t="s">
        <v>0</v>
      </c>
      <c r="D164" s="13" t="s">
        <v>0</v>
      </c>
      <c r="E164" s="74"/>
      <c r="F164" s="75"/>
      <c r="G164" s="76"/>
    </row>
    <row r="165" spans="1:7" ht="15">
      <c r="A165" s="12" t="s">
        <v>112</v>
      </c>
      <c r="B165" s="13" t="s">
        <v>113</v>
      </c>
      <c r="C165" s="13" t="s">
        <v>114</v>
      </c>
      <c r="D165" s="13" t="s">
        <v>109</v>
      </c>
      <c r="E165" s="74"/>
      <c r="F165" s="75"/>
      <c r="G165" s="76"/>
    </row>
    <row r="166" spans="1:7" ht="15.75">
      <c r="A166" s="12" t="s">
        <v>0</v>
      </c>
      <c r="B166" s="13" t="s">
        <v>0</v>
      </c>
      <c r="C166" s="13" t="s">
        <v>369</v>
      </c>
      <c r="D166" s="13" t="s">
        <v>0</v>
      </c>
      <c r="E166" s="74"/>
      <c r="F166" s="75"/>
      <c r="G166" s="77">
        <f>ROUND(SUM(G167:G167),5)</f>
        <v>22267</v>
      </c>
    </row>
    <row r="167" spans="1:7" ht="15">
      <c r="A167" s="12" t="s">
        <v>0</v>
      </c>
      <c r="B167" s="13" t="s">
        <v>0</v>
      </c>
      <c r="C167" s="13" t="s">
        <v>115</v>
      </c>
      <c r="D167" s="13" t="s">
        <v>103</v>
      </c>
      <c r="E167" s="74">
        <f>1</f>
        <v>1</v>
      </c>
      <c r="F167" s="75">
        <f>'Gia VL'!Q12</f>
        <v>22267</v>
      </c>
      <c r="G167" s="76">
        <f>ROUND(E167*F167,5)</f>
        <v>22267</v>
      </c>
    </row>
    <row r="168" spans="1:7" ht="15.75">
      <c r="A168" s="12" t="s">
        <v>0</v>
      </c>
      <c r="B168" s="13" t="s">
        <v>0</v>
      </c>
      <c r="C168" s="13" t="s">
        <v>370</v>
      </c>
      <c r="D168" s="13" t="s">
        <v>0</v>
      </c>
      <c r="E168" s="74"/>
      <c r="F168" s="75"/>
      <c r="G168" s="77">
        <f>ROUND(SUM(G169:G171),5)</f>
        <v>3278.6</v>
      </c>
    </row>
    <row r="169" spans="1:7" ht="15">
      <c r="A169" s="12" t="s">
        <v>0</v>
      </c>
      <c r="B169" s="13" t="s">
        <v>0</v>
      </c>
      <c r="C169" s="13" t="s">
        <v>47</v>
      </c>
      <c r="D169" s="13" t="s">
        <v>8</v>
      </c>
      <c r="E169" s="74">
        <f>0.013</f>
        <v>0.013</v>
      </c>
      <c r="F169" s="75">
        <f>'Gia NC,CM'!P10</f>
        <v>252200</v>
      </c>
      <c r="G169" s="76">
        <f>ROUND(E169*F169,5)</f>
        <v>3278.6</v>
      </c>
    </row>
    <row r="170" spans="1:7" ht="15">
      <c r="A170" s="12" t="s">
        <v>0</v>
      </c>
      <c r="B170" s="13" t="s">
        <v>0</v>
      </c>
      <c r="C170" s="13" t="s">
        <v>0</v>
      </c>
      <c r="D170" s="13" t="s">
        <v>0</v>
      </c>
      <c r="E170" s="74"/>
      <c r="F170" s="75"/>
      <c r="G170" s="76"/>
    </row>
    <row r="171" spans="1:7" ht="15">
      <c r="A171" s="12" t="s">
        <v>116</v>
      </c>
      <c r="B171" s="13" t="s">
        <v>117</v>
      </c>
      <c r="C171" s="13" t="s">
        <v>118</v>
      </c>
      <c r="D171" s="13" t="s">
        <v>119</v>
      </c>
      <c r="E171" s="74"/>
      <c r="F171" s="75"/>
      <c r="G171" s="76"/>
    </row>
    <row r="172" spans="1:7" ht="15.75">
      <c r="A172" s="12" t="s">
        <v>0</v>
      </c>
      <c r="B172" s="13" t="s">
        <v>0</v>
      </c>
      <c r="C172" s="13" t="s">
        <v>369</v>
      </c>
      <c r="D172" s="13" t="s">
        <v>0</v>
      </c>
      <c r="E172" s="74"/>
      <c r="F172" s="75"/>
      <c r="G172" s="77">
        <f>ROUND(SUM(G173:G178),5)</f>
        <v>256937.5</v>
      </c>
    </row>
    <row r="173" spans="1:7" ht="15">
      <c r="A173" s="12" t="s">
        <v>0</v>
      </c>
      <c r="B173" s="13" t="s">
        <v>0</v>
      </c>
      <c r="C173" s="13" t="s">
        <v>120</v>
      </c>
      <c r="D173" s="13" t="s">
        <v>121</v>
      </c>
      <c r="E173" s="74">
        <f>1</f>
        <v>1</v>
      </c>
      <c r="F173" s="75">
        <f>'Gia VL'!Q33</f>
        <v>54300</v>
      </c>
      <c r="G173" s="76">
        <f>ROUND(E173*F173,5)</f>
        <v>54300</v>
      </c>
    </row>
    <row r="174" spans="1:7" ht="15">
      <c r="A174" s="12" t="s">
        <v>0</v>
      </c>
      <c r="B174" s="13" t="s">
        <v>0</v>
      </c>
      <c r="C174" s="13" t="s">
        <v>122</v>
      </c>
      <c r="D174" s="13" t="s">
        <v>121</v>
      </c>
      <c r="E174" s="74">
        <f>1</f>
        <v>1</v>
      </c>
      <c r="F174" s="75">
        <f>'Gia VL'!Q67</f>
        <v>17500</v>
      </c>
      <c r="G174" s="76">
        <f>ROUND(E174*F174,5)</f>
        <v>17500</v>
      </c>
    </row>
    <row r="175" spans="1:7" ht="15">
      <c r="A175" s="12" t="s">
        <v>0</v>
      </c>
      <c r="B175" s="13" t="s">
        <v>0</v>
      </c>
      <c r="C175" s="13" t="s">
        <v>123</v>
      </c>
      <c r="D175" s="13" t="s">
        <v>103</v>
      </c>
      <c r="E175" s="74">
        <f>1.5</f>
        <v>1.5</v>
      </c>
      <c r="F175" s="75">
        <f>'Gia VL'!Q26</f>
        <v>113125</v>
      </c>
      <c r="G175" s="76">
        <f>ROUND(E175*F175,5)</f>
        <v>169687.5</v>
      </c>
    </row>
    <row r="176" spans="1:7" ht="15">
      <c r="A176" s="12" t="s">
        <v>0</v>
      </c>
      <c r="B176" s="13" t="s">
        <v>0</v>
      </c>
      <c r="C176" s="13" t="s">
        <v>124</v>
      </c>
      <c r="D176" s="13" t="s">
        <v>119</v>
      </c>
      <c r="E176" s="74">
        <f>1</f>
        <v>1</v>
      </c>
      <c r="F176" s="75">
        <f>'Gia VL'!Q8</f>
        <v>15450</v>
      </c>
      <c r="G176" s="76">
        <f>ROUND(E176*F176,5)</f>
        <v>15450</v>
      </c>
    </row>
    <row r="177" spans="1:7" ht="15">
      <c r="A177" s="12" t="s">
        <v>0</v>
      </c>
      <c r="B177" s="13" t="s">
        <v>0</v>
      </c>
      <c r="C177" s="13" t="s">
        <v>0</v>
      </c>
      <c r="D177" s="13" t="s">
        <v>0</v>
      </c>
      <c r="E177" s="74"/>
      <c r="F177" s="75"/>
      <c r="G177" s="76"/>
    </row>
    <row r="178" spans="1:7" ht="15">
      <c r="A178" s="12" t="s">
        <v>125</v>
      </c>
      <c r="B178" s="13" t="s">
        <v>126</v>
      </c>
      <c r="C178" s="13" t="s">
        <v>127</v>
      </c>
      <c r="D178" s="13" t="s">
        <v>119</v>
      </c>
      <c r="E178" s="74"/>
      <c r="F178" s="75"/>
      <c r="G178" s="76"/>
    </row>
    <row r="179" spans="1:7" ht="15.75">
      <c r="A179" s="12" t="s">
        <v>0</v>
      </c>
      <c r="B179" s="13" t="s">
        <v>0</v>
      </c>
      <c r="C179" s="13" t="s">
        <v>369</v>
      </c>
      <c r="D179" s="13" t="s">
        <v>0</v>
      </c>
      <c r="E179" s="74"/>
      <c r="F179" s="75"/>
      <c r="G179" s="77">
        <f>ROUND(SUM(G180:G184),5)</f>
        <v>1822445</v>
      </c>
    </row>
    <row r="180" spans="1:7" ht="15">
      <c r="A180" s="12" t="s">
        <v>0</v>
      </c>
      <c r="B180" s="13" t="s">
        <v>0</v>
      </c>
      <c r="C180" s="13" t="s">
        <v>128</v>
      </c>
      <c r="D180" s="13" t="s">
        <v>103</v>
      </c>
      <c r="E180" s="74">
        <f>24</f>
        <v>24</v>
      </c>
      <c r="F180" s="75">
        <f>'Gia VL'!Q69</f>
        <v>29300</v>
      </c>
      <c r="G180" s="76">
        <f>ROUND(E180*F180,5)</f>
        <v>703200</v>
      </c>
    </row>
    <row r="181" spans="1:7" ht="15">
      <c r="A181" s="12" t="s">
        <v>0</v>
      </c>
      <c r="B181" s="13" t="s">
        <v>0</v>
      </c>
      <c r="C181" s="13" t="s">
        <v>129</v>
      </c>
      <c r="D181" s="13" t="s">
        <v>121</v>
      </c>
      <c r="E181" s="74">
        <f>8</f>
        <v>8</v>
      </c>
      <c r="F181" s="75">
        <f>'Gia VL'!Q66</f>
        <v>14800</v>
      </c>
      <c r="G181" s="76">
        <f>ROUND(E181*F181,5)</f>
        <v>118400</v>
      </c>
    </row>
    <row r="182" spans="1:7" ht="15">
      <c r="A182" s="12" t="s">
        <v>0</v>
      </c>
      <c r="B182" s="13" t="s">
        <v>0</v>
      </c>
      <c r="C182" s="13" t="s">
        <v>130</v>
      </c>
      <c r="D182" s="13" t="s">
        <v>103</v>
      </c>
      <c r="E182" s="74">
        <f>3</f>
        <v>3</v>
      </c>
      <c r="F182" s="75">
        <f>'Gia VL'!Q11</f>
        <v>333615</v>
      </c>
      <c r="G182" s="76">
        <f>ROUND(E182*F182,5)</f>
        <v>1000845</v>
      </c>
    </row>
    <row r="183" spans="1:7" ht="15">
      <c r="A183" s="12" t="s">
        <v>0</v>
      </c>
      <c r="B183" s="13" t="s">
        <v>0</v>
      </c>
      <c r="C183" s="13" t="s">
        <v>0</v>
      </c>
      <c r="D183" s="13" t="s">
        <v>0</v>
      </c>
      <c r="E183" s="74"/>
      <c r="F183" s="75"/>
      <c r="G183" s="76"/>
    </row>
    <row r="184" spans="1:7" ht="15">
      <c r="A184" s="12" t="s">
        <v>131</v>
      </c>
      <c r="B184" s="13" t="s">
        <v>132</v>
      </c>
      <c r="C184" s="13" t="s">
        <v>133</v>
      </c>
      <c r="D184" s="13" t="s">
        <v>73</v>
      </c>
      <c r="E184" s="74"/>
      <c r="F184" s="75"/>
      <c r="G184" s="76"/>
    </row>
    <row r="185" spans="1:7" ht="15.75">
      <c r="A185" s="12" t="s">
        <v>0</v>
      </c>
      <c r="B185" s="13" t="s">
        <v>0</v>
      </c>
      <c r="C185" s="13" t="s">
        <v>369</v>
      </c>
      <c r="D185" s="13" t="s">
        <v>0</v>
      </c>
      <c r="E185" s="74"/>
      <c r="F185" s="75"/>
      <c r="G185" s="77">
        <f>ROUND(SUM(G186:G193),5)</f>
        <v>129850</v>
      </c>
    </row>
    <row r="186" spans="1:7" ht="15">
      <c r="A186" s="12" t="s">
        <v>0</v>
      </c>
      <c r="B186" s="13" t="s">
        <v>0</v>
      </c>
      <c r="C186" s="13" t="s">
        <v>134</v>
      </c>
      <c r="D186" s="13" t="s">
        <v>121</v>
      </c>
      <c r="E186" s="74">
        <f>1</f>
        <v>1</v>
      </c>
      <c r="F186" s="75">
        <f>'Gia VL'!Q10</f>
        <v>41800</v>
      </c>
      <c r="G186" s="76">
        <f aca="true" t="shared" si="0" ref="G186:G191">ROUND(E186*F186,5)</f>
        <v>41800</v>
      </c>
    </row>
    <row r="187" spans="1:7" ht="15">
      <c r="A187" s="12" t="s">
        <v>0</v>
      </c>
      <c r="B187" s="13" t="s">
        <v>0</v>
      </c>
      <c r="C187" s="13" t="s">
        <v>135</v>
      </c>
      <c r="D187" s="13" t="s">
        <v>121</v>
      </c>
      <c r="E187" s="74">
        <f>1</f>
        <v>1</v>
      </c>
      <c r="F187" s="75">
        <f>'Gia VL'!Q32</f>
        <v>45570</v>
      </c>
      <c r="G187" s="76">
        <f t="shared" si="0"/>
        <v>45570</v>
      </c>
    </row>
    <row r="188" spans="1:7" ht="15">
      <c r="A188" s="12" t="s">
        <v>0</v>
      </c>
      <c r="B188" s="13" t="s">
        <v>0</v>
      </c>
      <c r="C188" s="13" t="s">
        <v>136</v>
      </c>
      <c r="D188" s="13" t="s">
        <v>119</v>
      </c>
      <c r="E188" s="74">
        <f>2</f>
        <v>2</v>
      </c>
      <c r="F188" s="75">
        <f>'Gia VL'!Q31</f>
        <v>2200</v>
      </c>
      <c r="G188" s="76">
        <f t="shared" si="0"/>
        <v>4400</v>
      </c>
    </row>
    <row r="189" spans="1:7" ht="15">
      <c r="A189" s="12" t="s">
        <v>0</v>
      </c>
      <c r="B189" s="13" t="s">
        <v>0</v>
      </c>
      <c r="C189" s="13" t="s">
        <v>137</v>
      </c>
      <c r="D189" s="13" t="s">
        <v>103</v>
      </c>
      <c r="E189" s="74">
        <f>3.6</f>
        <v>3.6</v>
      </c>
      <c r="F189" s="75">
        <f>'Gia VL'!Q47</f>
        <v>7800</v>
      </c>
      <c r="G189" s="76">
        <f t="shared" si="0"/>
        <v>28080</v>
      </c>
    </row>
    <row r="190" spans="1:7" ht="15">
      <c r="A190" s="12" t="s">
        <v>0</v>
      </c>
      <c r="B190" s="13" t="s">
        <v>0</v>
      </c>
      <c r="C190" s="13" t="s">
        <v>138</v>
      </c>
      <c r="D190" s="13" t="s">
        <v>139</v>
      </c>
      <c r="E190" s="74">
        <f>1</f>
        <v>1</v>
      </c>
      <c r="F190" s="75">
        <f>'Gia VL'!Q23</f>
        <v>400</v>
      </c>
      <c r="G190" s="76">
        <f t="shared" si="0"/>
        <v>400</v>
      </c>
    </row>
    <row r="191" spans="1:7" ht="15">
      <c r="A191" s="12" t="s">
        <v>0</v>
      </c>
      <c r="B191" s="13" t="s">
        <v>0</v>
      </c>
      <c r="C191" s="13" t="s">
        <v>140</v>
      </c>
      <c r="D191" s="13" t="s">
        <v>121</v>
      </c>
      <c r="E191" s="74">
        <f>4</f>
        <v>4</v>
      </c>
      <c r="F191" s="75">
        <f>'Gia VL'!Q38</f>
        <v>2400</v>
      </c>
      <c r="G191" s="76">
        <f t="shared" si="0"/>
        <v>9600</v>
      </c>
    </row>
    <row r="192" spans="1:7" ht="15">
      <c r="A192" s="12" t="s">
        <v>0</v>
      </c>
      <c r="B192" s="13" t="s">
        <v>0</v>
      </c>
      <c r="C192" s="13" t="s">
        <v>0</v>
      </c>
      <c r="D192" s="13" t="s">
        <v>0</v>
      </c>
      <c r="E192" s="74"/>
      <c r="F192" s="75"/>
      <c r="G192" s="76"/>
    </row>
    <row r="193" spans="1:7" ht="15">
      <c r="A193" s="12" t="s">
        <v>141</v>
      </c>
      <c r="B193" s="13" t="s">
        <v>142</v>
      </c>
      <c r="C193" s="13" t="s">
        <v>143</v>
      </c>
      <c r="D193" s="13" t="s">
        <v>73</v>
      </c>
      <c r="E193" s="74"/>
      <c r="F193" s="75"/>
      <c r="G193" s="76"/>
    </row>
    <row r="194" spans="1:7" ht="15.75">
      <c r="A194" s="12" t="s">
        <v>0</v>
      </c>
      <c r="B194" s="13" t="s">
        <v>0</v>
      </c>
      <c r="C194" s="13" t="s">
        <v>369</v>
      </c>
      <c r="D194" s="13" t="s">
        <v>0</v>
      </c>
      <c r="E194" s="74"/>
      <c r="F194" s="75"/>
      <c r="G194" s="77">
        <f>ROUND(SUM(G195:G198),5)</f>
        <v>38091</v>
      </c>
    </row>
    <row r="195" spans="1:7" ht="15">
      <c r="A195" s="12" t="s">
        <v>0</v>
      </c>
      <c r="B195" s="13" t="s">
        <v>0</v>
      </c>
      <c r="C195" s="13" t="s">
        <v>144</v>
      </c>
      <c r="D195" s="13" t="s">
        <v>121</v>
      </c>
      <c r="E195" s="74">
        <f>1</f>
        <v>1</v>
      </c>
      <c r="F195" s="75">
        <f>'Gia VL'!Q9</f>
        <v>16691</v>
      </c>
      <c r="G195" s="76">
        <f>ROUND(E195*F195,5)</f>
        <v>16691</v>
      </c>
    </row>
    <row r="196" spans="1:7" ht="15">
      <c r="A196" s="12" t="s">
        <v>0</v>
      </c>
      <c r="B196" s="13" t="s">
        <v>0</v>
      </c>
      <c r="C196" s="13" t="s">
        <v>145</v>
      </c>
      <c r="D196" s="13" t="s">
        <v>121</v>
      </c>
      <c r="E196" s="74">
        <f>1</f>
        <v>1</v>
      </c>
      <c r="F196" s="75">
        <f>'Gia VL'!Q35</f>
        <v>21400</v>
      </c>
      <c r="G196" s="76">
        <f>ROUND(E196*F196,5)</f>
        <v>21400</v>
      </c>
    </row>
    <row r="197" spans="1:7" ht="15">
      <c r="A197" s="12" t="s">
        <v>0</v>
      </c>
      <c r="B197" s="13" t="s">
        <v>0</v>
      </c>
      <c r="C197" s="13" t="s">
        <v>0</v>
      </c>
      <c r="D197" s="13" t="s">
        <v>0</v>
      </c>
      <c r="E197" s="74"/>
      <c r="F197" s="75"/>
      <c r="G197" s="76"/>
    </row>
    <row r="198" spans="1:7" ht="15">
      <c r="A198" s="12" t="s">
        <v>146</v>
      </c>
      <c r="B198" s="13" t="s">
        <v>147</v>
      </c>
      <c r="C198" s="13" t="s">
        <v>148</v>
      </c>
      <c r="D198" s="13" t="s">
        <v>73</v>
      </c>
      <c r="E198" s="74"/>
      <c r="F198" s="75"/>
      <c r="G198" s="76"/>
    </row>
    <row r="199" spans="1:7" ht="15.75">
      <c r="A199" s="12" t="s">
        <v>0</v>
      </c>
      <c r="B199" s="13" t="s">
        <v>0</v>
      </c>
      <c r="C199" s="13" t="s">
        <v>369</v>
      </c>
      <c r="D199" s="13" t="s">
        <v>0</v>
      </c>
      <c r="E199" s="74"/>
      <c r="F199" s="75"/>
      <c r="G199" s="77">
        <f>ROUND(SUM(G200:G205),5)</f>
        <v>190060</v>
      </c>
    </row>
    <row r="200" spans="1:7" ht="15">
      <c r="A200" s="12" t="s">
        <v>0</v>
      </c>
      <c r="B200" s="13" t="s">
        <v>0</v>
      </c>
      <c r="C200" s="13" t="s">
        <v>134</v>
      </c>
      <c r="D200" s="13" t="s">
        <v>121</v>
      </c>
      <c r="E200" s="74">
        <f>2</f>
        <v>2</v>
      </c>
      <c r="F200" s="75">
        <f>'Gia VL'!Q10</f>
        <v>41800</v>
      </c>
      <c r="G200" s="76">
        <f>ROUND(E200*F200,5)</f>
        <v>83600</v>
      </c>
    </row>
    <row r="201" spans="1:7" ht="15">
      <c r="A201" s="12" t="s">
        <v>0</v>
      </c>
      <c r="B201" s="13" t="s">
        <v>0</v>
      </c>
      <c r="C201" s="13" t="s">
        <v>135</v>
      </c>
      <c r="D201" s="13" t="s">
        <v>121</v>
      </c>
      <c r="E201" s="74">
        <f>2</f>
        <v>2</v>
      </c>
      <c r="F201" s="75">
        <f>'Gia VL'!Q32</f>
        <v>45570</v>
      </c>
      <c r="G201" s="76">
        <f>ROUND(E201*F201,5)</f>
        <v>91140</v>
      </c>
    </row>
    <row r="202" spans="1:7" ht="15">
      <c r="A202" s="12" t="s">
        <v>0</v>
      </c>
      <c r="B202" s="13" t="s">
        <v>0</v>
      </c>
      <c r="C202" s="13" t="s">
        <v>136</v>
      </c>
      <c r="D202" s="13" t="s">
        <v>119</v>
      </c>
      <c r="E202" s="74">
        <f>2</f>
        <v>2</v>
      </c>
      <c r="F202" s="75">
        <f>'Gia VL'!Q31</f>
        <v>2200</v>
      </c>
      <c r="G202" s="76">
        <f>ROUND(E202*F202,5)</f>
        <v>4400</v>
      </c>
    </row>
    <row r="203" spans="1:7" ht="15">
      <c r="A203" s="12" t="s">
        <v>0</v>
      </c>
      <c r="B203" s="13" t="s">
        <v>0</v>
      </c>
      <c r="C203" s="13" t="s">
        <v>137</v>
      </c>
      <c r="D203" s="13" t="s">
        <v>103</v>
      </c>
      <c r="E203" s="74">
        <f>1.4</f>
        <v>1.4</v>
      </c>
      <c r="F203" s="75">
        <f>'Gia VL'!Q47</f>
        <v>7800</v>
      </c>
      <c r="G203" s="76">
        <f>ROUND(E203*F203,5)</f>
        <v>10920</v>
      </c>
    </row>
    <row r="204" spans="1:7" ht="15">
      <c r="A204" s="12" t="s">
        <v>0</v>
      </c>
      <c r="B204" s="13" t="s">
        <v>0</v>
      </c>
      <c r="C204" s="13" t="s">
        <v>0</v>
      </c>
      <c r="D204" s="13" t="s">
        <v>0</v>
      </c>
      <c r="E204" s="74"/>
      <c r="F204" s="75"/>
      <c r="G204" s="76"/>
    </row>
    <row r="205" spans="1:7" ht="15">
      <c r="A205" s="12" t="s">
        <v>149</v>
      </c>
      <c r="B205" s="13" t="s">
        <v>150</v>
      </c>
      <c r="C205" s="13" t="s">
        <v>151</v>
      </c>
      <c r="D205" s="13" t="s">
        <v>73</v>
      </c>
      <c r="E205" s="74"/>
      <c r="F205" s="75"/>
      <c r="G205" s="76"/>
    </row>
    <row r="206" spans="1:7" ht="15.75">
      <c r="A206" s="12" t="s">
        <v>0</v>
      </c>
      <c r="B206" s="13" t="s">
        <v>0</v>
      </c>
      <c r="C206" s="13" t="s">
        <v>369</v>
      </c>
      <c r="D206" s="13" t="s">
        <v>0</v>
      </c>
      <c r="E206" s="74"/>
      <c r="F206" s="75"/>
      <c r="G206" s="77">
        <f>ROUND(SUM(G207:G211),5)</f>
        <v>71861</v>
      </c>
    </row>
    <row r="207" spans="1:7" ht="15">
      <c r="A207" s="12" t="s">
        <v>0</v>
      </c>
      <c r="B207" s="13" t="s">
        <v>0</v>
      </c>
      <c r="C207" s="13" t="s">
        <v>144</v>
      </c>
      <c r="D207" s="13" t="s">
        <v>121</v>
      </c>
      <c r="E207" s="74">
        <f>1</f>
        <v>1</v>
      </c>
      <c r="F207" s="75">
        <f>'Gia VL'!Q9</f>
        <v>16691</v>
      </c>
      <c r="G207" s="76">
        <f>ROUND(E207*F207,5)</f>
        <v>16691</v>
      </c>
    </row>
    <row r="208" spans="1:7" ht="15">
      <c r="A208" s="12" t="s">
        <v>0</v>
      </c>
      <c r="B208" s="13" t="s">
        <v>0</v>
      </c>
      <c r="C208" s="13" t="s">
        <v>135</v>
      </c>
      <c r="D208" s="13" t="s">
        <v>121</v>
      </c>
      <c r="E208" s="74">
        <f>1</f>
        <v>1</v>
      </c>
      <c r="F208" s="75">
        <f>'Gia VL'!Q32</f>
        <v>45570</v>
      </c>
      <c r="G208" s="76">
        <f>ROUND(E208*F208,5)</f>
        <v>45570</v>
      </c>
    </row>
    <row r="209" spans="1:7" ht="15">
      <c r="A209" s="12" t="s">
        <v>0</v>
      </c>
      <c r="B209" s="13" t="s">
        <v>0</v>
      </c>
      <c r="C209" s="13" t="s">
        <v>152</v>
      </c>
      <c r="D209" s="13" t="s">
        <v>121</v>
      </c>
      <c r="E209" s="74">
        <f>4</f>
        <v>4</v>
      </c>
      <c r="F209" s="75">
        <f>'Gia VL'!Q37</f>
        <v>2400</v>
      </c>
      <c r="G209" s="76">
        <f>ROUND(E209*F209,5)</f>
        <v>9600</v>
      </c>
    </row>
    <row r="210" spans="1:7" ht="15">
      <c r="A210" s="12" t="s">
        <v>0</v>
      </c>
      <c r="B210" s="13" t="s">
        <v>0</v>
      </c>
      <c r="C210" s="13" t="s">
        <v>0</v>
      </c>
      <c r="D210" s="13" t="s">
        <v>0</v>
      </c>
      <c r="E210" s="74"/>
      <c r="F210" s="75"/>
      <c r="G210" s="76"/>
    </row>
    <row r="211" spans="1:7" ht="15">
      <c r="A211" s="12" t="s">
        <v>153</v>
      </c>
      <c r="B211" s="13" t="s">
        <v>154</v>
      </c>
      <c r="C211" s="13" t="s">
        <v>155</v>
      </c>
      <c r="D211" s="13" t="s">
        <v>73</v>
      </c>
      <c r="E211" s="74"/>
      <c r="F211" s="75"/>
      <c r="G211" s="76"/>
    </row>
    <row r="212" spans="1:7" ht="15.75">
      <c r="A212" s="12" t="s">
        <v>0</v>
      </c>
      <c r="B212" s="13" t="s">
        <v>0</v>
      </c>
      <c r="C212" s="13" t="s">
        <v>369</v>
      </c>
      <c r="D212" s="13" t="s">
        <v>0</v>
      </c>
      <c r="E212" s="74"/>
      <c r="F212" s="75"/>
      <c r="G212" s="77">
        <f>ROUND(SUM(G213:G216),5)</f>
        <v>38091</v>
      </c>
    </row>
    <row r="213" spans="1:7" ht="15">
      <c r="A213" s="12" t="s">
        <v>0</v>
      </c>
      <c r="B213" s="13" t="s">
        <v>0</v>
      </c>
      <c r="C213" s="13" t="s">
        <v>144</v>
      </c>
      <c r="D213" s="13" t="s">
        <v>121</v>
      </c>
      <c r="E213" s="74">
        <f>1</f>
        <v>1</v>
      </c>
      <c r="F213" s="75">
        <f>'Gia VL'!Q9</f>
        <v>16691</v>
      </c>
      <c r="G213" s="76">
        <f>ROUND(E213*F213,5)</f>
        <v>16691</v>
      </c>
    </row>
    <row r="214" spans="1:7" ht="15">
      <c r="A214" s="12" t="s">
        <v>0</v>
      </c>
      <c r="B214" s="13" t="s">
        <v>0</v>
      </c>
      <c r="C214" s="13" t="s">
        <v>145</v>
      </c>
      <c r="D214" s="13" t="s">
        <v>121</v>
      </c>
      <c r="E214" s="74">
        <f>1</f>
        <v>1</v>
      </c>
      <c r="F214" s="75">
        <f>'Gia VL'!Q35</f>
        <v>21400</v>
      </c>
      <c r="G214" s="76">
        <f>ROUND(E214*F214,5)</f>
        <v>21400</v>
      </c>
    </row>
    <row r="215" spans="1:7" ht="15">
      <c r="A215" s="12" t="s">
        <v>0</v>
      </c>
      <c r="B215" s="13" t="s">
        <v>0</v>
      </c>
      <c r="C215" s="13" t="s">
        <v>0</v>
      </c>
      <c r="D215" s="13" t="s">
        <v>0</v>
      </c>
      <c r="E215" s="74"/>
      <c r="F215" s="75"/>
      <c r="G215" s="76"/>
    </row>
    <row r="216" spans="1:7" ht="15">
      <c r="A216" s="12" t="s">
        <v>156</v>
      </c>
      <c r="B216" s="13" t="s">
        <v>157</v>
      </c>
      <c r="C216" s="13" t="s">
        <v>158</v>
      </c>
      <c r="D216" s="13" t="s">
        <v>73</v>
      </c>
      <c r="E216" s="74"/>
      <c r="F216" s="75"/>
      <c r="G216" s="76"/>
    </row>
    <row r="217" spans="1:7" ht="15.75">
      <c r="A217" s="12" t="s">
        <v>0</v>
      </c>
      <c r="B217" s="13" t="s">
        <v>0</v>
      </c>
      <c r="C217" s="13" t="s">
        <v>369</v>
      </c>
      <c r="D217" s="13" t="s">
        <v>0</v>
      </c>
      <c r="E217" s="74"/>
      <c r="F217" s="75"/>
      <c r="G217" s="77">
        <f>ROUND(SUM(G218:G222),5)</f>
        <v>188780</v>
      </c>
    </row>
    <row r="218" spans="1:7" ht="15">
      <c r="A218" s="12" t="s">
        <v>0</v>
      </c>
      <c r="B218" s="13" t="s">
        <v>0</v>
      </c>
      <c r="C218" s="13" t="s">
        <v>134</v>
      </c>
      <c r="D218" s="13" t="s">
        <v>121</v>
      </c>
      <c r="E218" s="74">
        <f>2</f>
        <v>2</v>
      </c>
      <c r="F218" s="75">
        <f>'Gia VL'!Q10</f>
        <v>41800</v>
      </c>
      <c r="G218" s="76">
        <f>ROUND(E218*F218,5)</f>
        <v>83600</v>
      </c>
    </row>
    <row r="219" spans="1:7" ht="15">
      <c r="A219" s="12" t="s">
        <v>0</v>
      </c>
      <c r="B219" s="13" t="s">
        <v>0</v>
      </c>
      <c r="C219" s="13" t="s">
        <v>135</v>
      </c>
      <c r="D219" s="13" t="s">
        <v>121</v>
      </c>
      <c r="E219" s="74">
        <f>2</f>
        <v>2</v>
      </c>
      <c r="F219" s="75">
        <f>'Gia VL'!Q32</f>
        <v>45570</v>
      </c>
      <c r="G219" s="76">
        <f>ROUND(E219*F219,5)</f>
        <v>91140</v>
      </c>
    </row>
    <row r="220" spans="1:7" ht="15">
      <c r="A220" s="12" t="s">
        <v>0</v>
      </c>
      <c r="B220" s="13" t="s">
        <v>0</v>
      </c>
      <c r="C220" s="13" t="s">
        <v>137</v>
      </c>
      <c r="D220" s="13" t="s">
        <v>103</v>
      </c>
      <c r="E220" s="74">
        <f>1.8</f>
        <v>1.8</v>
      </c>
      <c r="F220" s="75">
        <f>'Gia VL'!Q47</f>
        <v>7800</v>
      </c>
      <c r="G220" s="76">
        <f>ROUND(E220*F220,5)</f>
        <v>14040</v>
      </c>
    </row>
    <row r="221" spans="1:7" ht="15">
      <c r="A221" s="12" t="s">
        <v>0</v>
      </c>
      <c r="B221" s="13" t="s">
        <v>0</v>
      </c>
      <c r="C221" s="13" t="s">
        <v>0</v>
      </c>
      <c r="D221" s="13" t="s">
        <v>0</v>
      </c>
      <c r="E221" s="74"/>
      <c r="F221" s="75"/>
      <c r="G221" s="76"/>
    </row>
    <row r="222" spans="1:7" ht="15">
      <c r="A222" s="12" t="s">
        <v>159</v>
      </c>
      <c r="B222" s="13" t="s">
        <v>160</v>
      </c>
      <c r="C222" s="13" t="s">
        <v>161</v>
      </c>
      <c r="D222" s="13" t="s">
        <v>73</v>
      </c>
      <c r="E222" s="74"/>
      <c r="F222" s="75"/>
      <c r="G222" s="76"/>
    </row>
    <row r="223" spans="1:7" ht="15.75">
      <c r="A223" s="12" t="s">
        <v>0</v>
      </c>
      <c r="B223" s="13" t="s">
        <v>0</v>
      </c>
      <c r="C223" s="13" t="s">
        <v>369</v>
      </c>
      <c r="D223" s="13" t="s">
        <v>0</v>
      </c>
      <c r="E223" s="74"/>
      <c r="F223" s="75"/>
      <c r="G223" s="77">
        <f>ROUND(SUM(G224:G228),5)</f>
        <v>71861</v>
      </c>
    </row>
    <row r="224" spans="1:7" ht="15">
      <c r="A224" s="12" t="s">
        <v>0</v>
      </c>
      <c r="B224" s="13" t="s">
        <v>0</v>
      </c>
      <c r="C224" s="13" t="s">
        <v>144</v>
      </c>
      <c r="D224" s="13" t="s">
        <v>121</v>
      </c>
      <c r="E224" s="74">
        <f>1</f>
        <v>1</v>
      </c>
      <c r="F224" s="75">
        <f>'Gia VL'!Q9</f>
        <v>16691</v>
      </c>
      <c r="G224" s="76">
        <f>ROUND(E224*F224,5)</f>
        <v>16691</v>
      </c>
    </row>
    <row r="225" spans="1:7" ht="15">
      <c r="A225" s="12" t="s">
        <v>0</v>
      </c>
      <c r="B225" s="13" t="s">
        <v>0</v>
      </c>
      <c r="C225" s="13" t="s">
        <v>135</v>
      </c>
      <c r="D225" s="13" t="s">
        <v>121</v>
      </c>
      <c r="E225" s="74">
        <f>1</f>
        <v>1</v>
      </c>
      <c r="F225" s="75">
        <f>'Gia VL'!Q32</f>
        <v>45570</v>
      </c>
      <c r="G225" s="76">
        <f>ROUND(E225*F225,5)</f>
        <v>45570</v>
      </c>
    </row>
    <row r="226" spans="1:7" ht="15">
      <c r="A226" s="12" t="s">
        <v>0</v>
      </c>
      <c r="B226" s="13" t="s">
        <v>0</v>
      </c>
      <c r="C226" s="13" t="s">
        <v>152</v>
      </c>
      <c r="D226" s="13" t="s">
        <v>121</v>
      </c>
      <c r="E226" s="74">
        <f>4</f>
        <v>4</v>
      </c>
      <c r="F226" s="75">
        <f>'Gia VL'!Q37</f>
        <v>2400</v>
      </c>
      <c r="G226" s="76">
        <f>ROUND(E226*F226,5)</f>
        <v>9600</v>
      </c>
    </row>
    <row r="227" spans="1:7" ht="15">
      <c r="A227" s="12" t="s">
        <v>0</v>
      </c>
      <c r="B227" s="13" t="s">
        <v>0</v>
      </c>
      <c r="C227" s="13" t="s">
        <v>0</v>
      </c>
      <c r="D227" s="13" t="s">
        <v>0</v>
      </c>
      <c r="E227" s="74"/>
      <c r="F227" s="75"/>
      <c r="G227" s="76"/>
    </row>
    <row r="228" spans="1:7" ht="15">
      <c r="A228" s="12" t="s">
        <v>162</v>
      </c>
      <c r="B228" s="13" t="s">
        <v>163</v>
      </c>
      <c r="C228" s="13" t="s">
        <v>164</v>
      </c>
      <c r="D228" s="13" t="s">
        <v>73</v>
      </c>
      <c r="E228" s="74"/>
      <c r="F228" s="75"/>
      <c r="G228" s="76"/>
    </row>
    <row r="229" spans="1:7" ht="15.75">
      <c r="A229" s="12" t="s">
        <v>0</v>
      </c>
      <c r="B229" s="13" t="s">
        <v>0</v>
      </c>
      <c r="C229" s="13" t="s">
        <v>369</v>
      </c>
      <c r="D229" s="13" t="s">
        <v>0</v>
      </c>
      <c r="E229" s="74"/>
      <c r="F229" s="75"/>
      <c r="G229" s="77">
        <f>ROUND(SUM(G230:G234),5)</f>
        <v>216860</v>
      </c>
    </row>
    <row r="230" spans="1:7" ht="15">
      <c r="A230" s="12" t="s">
        <v>0</v>
      </c>
      <c r="B230" s="13" t="s">
        <v>0</v>
      </c>
      <c r="C230" s="13" t="s">
        <v>134</v>
      </c>
      <c r="D230" s="13" t="s">
        <v>121</v>
      </c>
      <c r="E230" s="74">
        <f>2</f>
        <v>2</v>
      </c>
      <c r="F230" s="75">
        <f>'Gia VL'!Q10</f>
        <v>41800</v>
      </c>
      <c r="G230" s="76">
        <f>ROUND(E230*F230,5)</f>
        <v>83600</v>
      </c>
    </row>
    <row r="231" spans="1:7" ht="15">
      <c r="A231" s="12" t="s">
        <v>0</v>
      </c>
      <c r="B231" s="13" t="s">
        <v>0</v>
      </c>
      <c r="C231" s="13" t="s">
        <v>135</v>
      </c>
      <c r="D231" s="13" t="s">
        <v>121</v>
      </c>
      <c r="E231" s="74">
        <f>2</f>
        <v>2</v>
      </c>
      <c r="F231" s="75">
        <f>'Gia VL'!Q32</f>
        <v>45570</v>
      </c>
      <c r="G231" s="76">
        <f>ROUND(E231*F231,5)</f>
        <v>91140</v>
      </c>
    </row>
    <row r="232" spans="1:7" ht="15">
      <c r="A232" s="12" t="s">
        <v>0</v>
      </c>
      <c r="B232" s="13" t="s">
        <v>0</v>
      </c>
      <c r="C232" s="13" t="s">
        <v>137</v>
      </c>
      <c r="D232" s="13" t="s">
        <v>103</v>
      </c>
      <c r="E232" s="74">
        <f>5.4</f>
        <v>5.4</v>
      </c>
      <c r="F232" s="75">
        <f>'Gia VL'!Q47</f>
        <v>7800</v>
      </c>
      <c r="G232" s="76">
        <f>ROUND(E232*F232,5)</f>
        <v>42120</v>
      </c>
    </row>
    <row r="233" spans="1:7" ht="15">
      <c r="A233" s="12" t="s">
        <v>0</v>
      </c>
      <c r="B233" s="13" t="s">
        <v>0</v>
      </c>
      <c r="C233" s="13" t="s">
        <v>0</v>
      </c>
      <c r="D233" s="13" t="s">
        <v>0</v>
      </c>
      <c r="E233" s="74"/>
      <c r="F233" s="75"/>
      <c r="G233" s="76"/>
    </row>
    <row r="234" spans="1:7" ht="15">
      <c r="A234" s="12" t="s">
        <v>165</v>
      </c>
      <c r="B234" s="13" t="s">
        <v>166</v>
      </c>
      <c r="C234" s="13" t="s">
        <v>167</v>
      </c>
      <c r="D234" s="13" t="s">
        <v>75</v>
      </c>
      <c r="E234" s="74"/>
      <c r="F234" s="75"/>
      <c r="G234" s="76"/>
    </row>
    <row r="235" spans="1:7" ht="15.75">
      <c r="A235" s="12" t="s">
        <v>0</v>
      </c>
      <c r="B235" s="13" t="s">
        <v>0</v>
      </c>
      <c r="C235" s="13" t="s">
        <v>369</v>
      </c>
      <c r="D235" s="13" t="s">
        <v>0</v>
      </c>
      <c r="E235" s="74"/>
      <c r="F235" s="75"/>
      <c r="G235" s="77">
        <f>ROUND(SUM(G236:G238),5)</f>
        <v>54300</v>
      </c>
    </row>
    <row r="236" spans="1:7" ht="15">
      <c r="A236" s="12" t="s">
        <v>0</v>
      </c>
      <c r="B236" s="13" t="s">
        <v>0</v>
      </c>
      <c r="C236" s="13" t="s">
        <v>168</v>
      </c>
      <c r="D236" s="13" t="s">
        <v>121</v>
      </c>
      <c r="E236" s="74">
        <f>1</f>
        <v>1</v>
      </c>
      <c r="F236" s="75">
        <f>'Gia VL'!Q34</f>
        <v>54300</v>
      </c>
      <c r="G236" s="76">
        <f>ROUND(E236*F236,5)</f>
        <v>54300</v>
      </c>
    </row>
    <row r="237" spans="1:7" ht="15">
      <c r="A237" s="12" t="s">
        <v>0</v>
      </c>
      <c r="B237" s="13" t="s">
        <v>0</v>
      </c>
      <c r="C237" s="13" t="s">
        <v>0</v>
      </c>
      <c r="D237" s="13" t="s">
        <v>0</v>
      </c>
      <c r="E237" s="74"/>
      <c r="F237" s="75"/>
      <c r="G237" s="76"/>
    </row>
    <row r="238" spans="1:7" ht="15">
      <c r="A238" s="12" t="s">
        <v>169</v>
      </c>
      <c r="B238" s="13" t="s">
        <v>170</v>
      </c>
      <c r="C238" s="13" t="s">
        <v>171</v>
      </c>
      <c r="D238" s="13" t="s">
        <v>58</v>
      </c>
      <c r="E238" s="74"/>
      <c r="F238" s="75"/>
      <c r="G238" s="76"/>
    </row>
    <row r="239" spans="1:7" ht="15.75">
      <c r="A239" s="12" t="s">
        <v>0</v>
      </c>
      <c r="B239" s="13" t="s">
        <v>0</v>
      </c>
      <c r="C239" s="13" t="s">
        <v>369</v>
      </c>
      <c r="D239" s="13" t="s">
        <v>0</v>
      </c>
      <c r="E239" s="74"/>
      <c r="F239" s="75"/>
      <c r="G239" s="77">
        <f>ROUND(SUM(G240:G243),5)</f>
        <v>50000</v>
      </c>
    </row>
    <row r="240" spans="1:7" ht="15">
      <c r="A240" s="12" t="s">
        <v>0</v>
      </c>
      <c r="B240" s="13" t="s">
        <v>0</v>
      </c>
      <c r="C240" s="13" t="s">
        <v>172</v>
      </c>
      <c r="D240" s="13" t="s">
        <v>58</v>
      </c>
      <c r="E240" s="74">
        <f>1</f>
        <v>1</v>
      </c>
      <c r="F240" s="75">
        <f>'Gia VL'!Q64</f>
        <v>50000</v>
      </c>
      <c r="G240" s="76">
        <f>ROUND(E240*F240,5)</f>
        <v>50000</v>
      </c>
    </row>
    <row r="241" spans="1:7" ht="15">
      <c r="A241" s="12" t="s">
        <v>0</v>
      </c>
      <c r="B241" s="13" t="s">
        <v>0</v>
      </c>
      <c r="C241" s="13" t="s">
        <v>0</v>
      </c>
      <c r="D241" s="13" t="s">
        <v>0</v>
      </c>
      <c r="E241" s="74"/>
      <c r="F241" s="75"/>
      <c r="G241" s="76"/>
    </row>
    <row r="242" spans="1:7" ht="15">
      <c r="A242" s="12" t="s">
        <v>174</v>
      </c>
      <c r="B242" s="13" t="s">
        <v>175</v>
      </c>
      <c r="C242" s="13" t="s">
        <v>176</v>
      </c>
      <c r="D242" s="13" t="s">
        <v>177</v>
      </c>
      <c r="E242" s="74"/>
      <c r="F242" s="75"/>
      <c r="G242" s="76"/>
    </row>
    <row r="243" spans="1:7" ht="15">
      <c r="A243" s="12" t="s">
        <v>0</v>
      </c>
      <c r="B243" s="13" t="s">
        <v>0</v>
      </c>
      <c r="C243" s="13" t="s">
        <v>178</v>
      </c>
      <c r="D243" s="13" t="s">
        <v>0</v>
      </c>
      <c r="E243" s="74"/>
      <c r="F243" s="75"/>
      <c r="G243" s="76"/>
    </row>
    <row r="244" spans="1:7" ht="15.75">
      <c r="A244" s="12" t="s">
        <v>0</v>
      </c>
      <c r="B244" s="13" t="s">
        <v>0</v>
      </c>
      <c r="C244" s="13" t="s">
        <v>368</v>
      </c>
      <c r="D244" s="13" t="s">
        <v>0</v>
      </c>
      <c r="E244" s="74"/>
      <c r="F244" s="75"/>
      <c r="G244" s="77">
        <f>ROUND(SUM(G245:G248),5)</f>
        <v>46932.9876</v>
      </c>
    </row>
    <row r="245" spans="1:7" ht="15">
      <c r="A245" s="12" t="s">
        <v>0</v>
      </c>
      <c r="B245" s="13" t="s">
        <v>0</v>
      </c>
      <c r="C245" s="13" t="s">
        <v>179</v>
      </c>
      <c r="D245" s="13" t="s">
        <v>10</v>
      </c>
      <c r="E245" s="74">
        <f>0.027</f>
        <v>0.027</v>
      </c>
      <c r="F245" s="75">
        <f>'Gia NC,CM'!P20</f>
        <v>1738258.8</v>
      </c>
      <c r="G245" s="76">
        <f>ROUND(E245*F245,5)</f>
        <v>46932.9876</v>
      </c>
    </row>
    <row r="246" spans="1:7" ht="15">
      <c r="A246" s="12" t="s">
        <v>0</v>
      </c>
      <c r="B246" s="13" t="s">
        <v>0</v>
      </c>
      <c r="C246" s="13" t="s">
        <v>0</v>
      </c>
      <c r="D246" s="13" t="s">
        <v>0</v>
      </c>
      <c r="E246" s="74"/>
      <c r="F246" s="75"/>
      <c r="G246" s="76"/>
    </row>
    <row r="247" spans="1:7" ht="15">
      <c r="A247" s="12" t="s">
        <v>180</v>
      </c>
      <c r="B247" s="13" t="s">
        <v>181</v>
      </c>
      <c r="C247" s="13" t="s">
        <v>176</v>
      </c>
      <c r="D247" s="13" t="s">
        <v>177</v>
      </c>
      <c r="E247" s="74"/>
      <c r="F247" s="75"/>
      <c r="G247" s="76"/>
    </row>
    <row r="248" spans="1:7" ht="15">
      <c r="A248" s="12" t="s">
        <v>0</v>
      </c>
      <c r="B248" s="13" t="s">
        <v>0</v>
      </c>
      <c r="C248" s="13" t="s">
        <v>182</v>
      </c>
      <c r="D248" s="13" t="s">
        <v>0</v>
      </c>
      <c r="E248" s="74"/>
      <c r="F248" s="75"/>
      <c r="G248" s="76"/>
    </row>
    <row r="249" spans="1:7" ht="15.75">
      <c r="A249" s="12" t="s">
        <v>0</v>
      </c>
      <c r="B249" s="13" t="s">
        <v>0</v>
      </c>
      <c r="C249" s="13" t="s">
        <v>368</v>
      </c>
      <c r="D249" s="13" t="s">
        <v>0</v>
      </c>
      <c r="E249" s="74"/>
      <c r="F249" s="75"/>
      <c r="G249" s="77">
        <f>ROUND(SUM(G250:G253),5)</f>
        <v>33026.9172</v>
      </c>
    </row>
    <row r="250" spans="1:7" ht="15">
      <c r="A250" s="12" t="s">
        <v>0</v>
      </c>
      <c r="B250" s="13" t="s">
        <v>0</v>
      </c>
      <c r="C250" s="13" t="s">
        <v>179</v>
      </c>
      <c r="D250" s="13" t="s">
        <v>10</v>
      </c>
      <c r="E250" s="74">
        <f>0.019</f>
        <v>0.019</v>
      </c>
      <c r="F250" s="75">
        <f>'Gia NC,CM'!P20</f>
        <v>1738258.8</v>
      </c>
      <c r="G250" s="76">
        <f>ROUND(E250*F250,5)</f>
        <v>33026.9172</v>
      </c>
    </row>
    <row r="251" spans="1:7" ht="15">
      <c r="A251" s="12" t="s">
        <v>0</v>
      </c>
      <c r="B251" s="13" t="s">
        <v>0</v>
      </c>
      <c r="C251" s="13" t="s">
        <v>0</v>
      </c>
      <c r="D251" s="13" t="s">
        <v>0</v>
      </c>
      <c r="E251" s="74"/>
      <c r="F251" s="75"/>
      <c r="G251" s="76"/>
    </row>
    <row r="252" spans="1:7" ht="15">
      <c r="A252" s="12" t="s">
        <v>183</v>
      </c>
      <c r="B252" s="13" t="s">
        <v>184</v>
      </c>
      <c r="C252" s="13" t="s">
        <v>176</v>
      </c>
      <c r="D252" s="13" t="s">
        <v>177</v>
      </c>
      <c r="E252" s="74"/>
      <c r="F252" s="75"/>
      <c r="G252" s="76"/>
    </row>
    <row r="253" spans="1:7" ht="15">
      <c r="A253" s="12" t="s">
        <v>0</v>
      </c>
      <c r="B253" s="13" t="s">
        <v>0</v>
      </c>
      <c r="C253" s="13" t="s">
        <v>185</v>
      </c>
      <c r="D253" s="13" t="s">
        <v>0</v>
      </c>
      <c r="E253" s="74"/>
      <c r="F253" s="75"/>
      <c r="G253" s="76"/>
    </row>
    <row r="254" spans="1:7" ht="15.75">
      <c r="A254" s="12" t="s">
        <v>0</v>
      </c>
      <c r="B254" s="13" t="s">
        <v>0</v>
      </c>
      <c r="C254" s="13" t="s">
        <v>368</v>
      </c>
      <c r="D254" s="13" t="s">
        <v>0</v>
      </c>
      <c r="E254" s="74"/>
      <c r="F254" s="75"/>
      <c r="G254" s="77">
        <f>ROUND(SUM(G255:G258),5)</f>
        <v>24335.6232</v>
      </c>
    </row>
    <row r="255" spans="1:7" ht="15">
      <c r="A255" s="12" t="s">
        <v>0</v>
      </c>
      <c r="B255" s="13" t="s">
        <v>0</v>
      </c>
      <c r="C255" s="13" t="s">
        <v>179</v>
      </c>
      <c r="D255" s="13" t="s">
        <v>10</v>
      </c>
      <c r="E255" s="74">
        <f>0.014</f>
        <v>0.014</v>
      </c>
      <c r="F255" s="75">
        <f>'Gia NC,CM'!P20</f>
        <v>1738258.8</v>
      </c>
      <c r="G255" s="76">
        <f>ROUND(E255*F255,5)</f>
        <v>24335.6232</v>
      </c>
    </row>
    <row r="256" spans="1:7" ht="15">
      <c r="A256" s="12" t="s">
        <v>0</v>
      </c>
      <c r="B256" s="13" t="s">
        <v>0</v>
      </c>
      <c r="C256" s="13" t="s">
        <v>0</v>
      </c>
      <c r="D256" s="13" t="s">
        <v>0</v>
      </c>
      <c r="E256" s="74"/>
      <c r="F256" s="75"/>
      <c r="G256" s="76"/>
    </row>
    <row r="257" spans="1:7" ht="15">
      <c r="A257" s="12" t="s">
        <v>186</v>
      </c>
      <c r="B257" s="13" t="s">
        <v>187</v>
      </c>
      <c r="C257" s="13" t="s">
        <v>188</v>
      </c>
      <c r="D257" s="13" t="s">
        <v>177</v>
      </c>
      <c r="E257" s="74"/>
      <c r="F257" s="75"/>
      <c r="G257" s="76"/>
    </row>
    <row r="258" spans="1:7" ht="15">
      <c r="A258" s="12" t="s">
        <v>0</v>
      </c>
      <c r="B258" s="13" t="s">
        <v>0</v>
      </c>
      <c r="C258" s="13" t="s">
        <v>178</v>
      </c>
      <c r="D258" s="13" t="s">
        <v>0</v>
      </c>
      <c r="E258" s="74"/>
      <c r="F258" s="75"/>
      <c r="G258" s="76"/>
    </row>
    <row r="259" spans="1:7" ht="15.75">
      <c r="A259" s="12" t="s">
        <v>0</v>
      </c>
      <c r="B259" s="13" t="s">
        <v>0</v>
      </c>
      <c r="C259" s="13" t="s">
        <v>368</v>
      </c>
      <c r="D259" s="13" t="s">
        <v>0</v>
      </c>
      <c r="E259" s="74"/>
      <c r="F259" s="75"/>
      <c r="G259" s="77">
        <f>ROUND(SUM(G260:G263),5)</f>
        <v>59100.7992</v>
      </c>
    </row>
    <row r="260" spans="1:7" ht="15">
      <c r="A260" s="12" t="s">
        <v>0</v>
      </c>
      <c r="B260" s="13" t="s">
        <v>0</v>
      </c>
      <c r="C260" s="13" t="s">
        <v>179</v>
      </c>
      <c r="D260" s="13" t="s">
        <v>10</v>
      </c>
      <c r="E260" s="74">
        <f>0.034</f>
        <v>0.034</v>
      </c>
      <c r="F260" s="75">
        <f>'Gia NC,CM'!P20</f>
        <v>1738258.8</v>
      </c>
      <c r="G260" s="76">
        <f>ROUND(E260*F260,5)</f>
        <v>59100.7992</v>
      </c>
    </row>
    <row r="261" spans="1:7" ht="15">
      <c r="A261" s="12" t="s">
        <v>0</v>
      </c>
      <c r="B261" s="13" t="s">
        <v>0</v>
      </c>
      <c r="C261" s="13" t="s">
        <v>0</v>
      </c>
      <c r="D261" s="13" t="s">
        <v>0</v>
      </c>
      <c r="E261" s="74"/>
      <c r="F261" s="75"/>
      <c r="G261" s="76"/>
    </row>
    <row r="262" spans="1:7" ht="15">
      <c r="A262" s="12" t="s">
        <v>189</v>
      </c>
      <c r="B262" s="13" t="s">
        <v>190</v>
      </c>
      <c r="C262" s="13" t="s">
        <v>188</v>
      </c>
      <c r="D262" s="13" t="s">
        <v>177</v>
      </c>
      <c r="E262" s="74"/>
      <c r="F262" s="75"/>
      <c r="G262" s="76"/>
    </row>
    <row r="263" spans="1:7" ht="15">
      <c r="A263" s="12" t="s">
        <v>0</v>
      </c>
      <c r="B263" s="13" t="s">
        <v>0</v>
      </c>
      <c r="C263" s="13" t="s">
        <v>182</v>
      </c>
      <c r="D263" s="13" t="s">
        <v>0</v>
      </c>
      <c r="E263" s="74"/>
      <c r="F263" s="75"/>
      <c r="G263" s="76"/>
    </row>
    <row r="264" spans="1:7" ht="15.75">
      <c r="A264" s="12" t="s">
        <v>0</v>
      </c>
      <c r="B264" s="13" t="s">
        <v>0</v>
      </c>
      <c r="C264" s="13" t="s">
        <v>368</v>
      </c>
      <c r="D264" s="13" t="s">
        <v>0</v>
      </c>
      <c r="E264" s="74"/>
      <c r="F264" s="75"/>
      <c r="G264" s="77">
        <f>ROUND(SUM(G265:G268),5)</f>
        <v>43456.47</v>
      </c>
    </row>
    <row r="265" spans="1:7" ht="15">
      <c r="A265" s="12" t="s">
        <v>0</v>
      </c>
      <c r="B265" s="13" t="s">
        <v>0</v>
      </c>
      <c r="C265" s="13" t="s">
        <v>179</v>
      </c>
      <c r="D265" s="13" t="s">
        <v>10</v>
      </c>
      <c r="E265" s="74">
        <f>0.025</f>
        <v>0.025</v>
      </c>
      <c r="F265" s="75">
        <f>'Gia NC,CM'!P20</f>
        <v>1738258.8</v>
      </c>
      <c r="G265" s="76">
        <f>ROUND(E265*F265,5)</f>
        <v>43456.47</v>
      </c>
    </row>
    <row r="266" spans="1:7" ht="15">
      <c r="A266" s="12" t="s">
        <v>0</v>
      </c>
      <c r="B266" s="13" t="s">
        <v>0</v>
      </c>
      <c r="C266" s="13" t="s">
        <v>0</v>
      </c>
      <c r="D266" s="13" t="s">
        <v>0</v>
      </c>
      <c r="E266" s="74"/>
      <c r="F266" s="75"/>
      <c r="G266" s="76"/>
    </row>
    <row r="267" spans="1:7" ht="15">
      <c r="A267" s="12" t="s">
        <v>191</v>
      </c>
      <c r="B267" s="13" t="s">
        <v>192</v>
      </c>
      <c r="C267" s="13" t="s">
        <v>188</v>
      </c>
      <c r="D267" s="13" t="s">
        <v>177</v>
      </c>
      <c r="E267" s="74"/>
      <c r="F267" s="75"/>
      <c r="G267" s="76"/>
    </row>
    <row r="268" spans="1:7" ht="15">
      <c r="A268" s="12" t="s">
        <v>0</v>
      </c>
      <c r="B268" s="13" t="s">
        <v>0</v>
      </c>
      <c r="C268" s="13" t="s">
        <v>185</v>
      </c>
      <c r="D268" s="13" t="s">
        <v>0</v>
      </c>
      <c r="E268" s="74"/>
      <c r="F268" s="75"/>
      <c r="G268" s="76"/>
    </row>
    <row r="269" spans="1:7" ht="15.75">
      <c r="A269" s="12" t="s">
        <v>0</v>
      </c>
      <c r="B269" s="13" t="s">
        <v>0</v>
      </c>
      <c r="C269" s="13" t="s">
        <v>368</v>
      </c>
      <c r="D269" s="13" t="s">
        <v>0</v>
      </c>
      <c r="E269" s="74"/>
      <c r="F269" s="75"/>
      <c r="G269" s="77">
        <f>ROUND(SUM(G270:G273),5)</f>
        <v>31288.6584</v>
      </c>
    </row>
    <row r="270" spans="1:7" ht="15">
      <c r="A270" s="12" t="s">
        <v>0</v>
      </c>
      <c r="B270" s="13" t="s">
        <v>0</v>
      </c>
      <c r="C270" s="13" t="s">
        <v>179</v>
      </c>
      <c r="D270" s="13" t="s">
        <v>10</v>
      </c>
      <c r="E270" s="74">
        <f>0.018</f>
        <v>0.018</v>
      </c>
      <c r="F270" s="75">
        <f>'Gia NC,CM'!P20</f>
        <v>1738258.8</v>
      </c>
      <c r="G270" s="76">
        <f>ROUND(E270*F270,5)</f>
        <v>31288.6584</v>
      </c>
    </row>
    <row r="271" spans="1:7" ht="15">
      <c r="A271" s="12" t="s">
        <v>0</v>
      </c>
      <c r="B271" s="13" t="s">
        <v>0</v>
      </c>
      <c r="C271" s="13" t="s">
        <v>0</v>
      </c>
      <c r="D271" s="13" t="s">
        <v>0</v>
      </c>
      <c r="E271" s="74"/>
      <c r="F271" s="75"/>
      <c r="G271" s="76"/>
    </row>
    <row r="272" spans="1:7" ht="15">
      <c r="A272" s="12" t="s">
        <v>193</v>
      </c>
      <c r="B272" s="13" t="s">
        <v>194</v>
      </c>
      <c r="C272" s="13" t="s">
        <v>195</v>
      </c>
      <c r="D272" s="13" t="s">
        <v>196</v>
      </c>
      <c r="E272" s="74"/>
      <c r="F272" s="75"/>
      <c r="G272" s="76"/>
    </row>
    <row r="273" spans="1:7" ht="15">
      <c r="A273" s="12" t="s">
        <v>0</v>
      </c>
      <c r="B273" s="13" t="s">
        <v>0</v>
      </c>
      <c r="C273" s="13" t="s">
        <v>178</v>
      </c>
      <c r="D273" s="13" t="s">
        <v>0</v>
      </c>
      <c r="E273" s="74"/>
      <c r="F273" s="75"/>
      <c r="G273" s="76"/>
    </row>
    <row r="274" spans="1:7" ht="15.75">
      <c r="A274" s="12" t="s">
        <v>0</v>
      </c>
      <c r="B274" s="13" t="s">
        <v>0</v>
      </c>
      <c r="C274" s="13" t="s">
        <v>368</v>
      </c>
      <c r="D274" s="13" t="s">
        <v>0</v>
      </c>
      <c r="E274" s="74"/>
      <c r="F274" s="75"/>
      <c r="G274" s="77">
        <f>ROUND(SUM(G275:G278),5)</f>
        <v>27973.3938</v>
      </c>
    </row>
    <row r="275" spans="1:7" ht="15">
      <c r="A275" s="12" t="s">
        <v>0</v>
      </c>
      <c r="B275" s="13" t="s">
        <v>0</v>
      </c>
      <c r="C275" s="13" t="s">
        <v>197</v>
      </c>
      <c r="D275" s="13" t="s">
        <v>10</v>
      </c>
      <c r="E275" s="74">
        <f>0.022</f>
        <v>0.022</v>
      </c>
      <c r="F275" s="75">
        <f>'Gia NC,CM'!P21</f>
        <v>1271517.9</v>
      </c>
      <c r="G275" s="76">
        <f>ROUND(E275*F275,5)</f>
        <v>27973.3938</v>
      </c>
    </row>
    <row r="276" spans="1:7" ht="15">
      <c r="A276" s="12" t="s">
        <v>0</v>
      </c>
      <c r="B276" s="13" t="s">
        <v>0</v>
      </c>
      <c r="C276" s="13" t="s">
        <v>0</v>
      </c>
      <c r="D276" s="13" t="s">
        <v>0</v>
      </c>
      <c r="E276" s="74"/>
      <c r="F276" s="75"/>
      <c r="G276" s="76"/>
    </row>
    <row r="277" spans="1:7" ht="15">
      <c r="A277" s="12" t="s">
        <v>198</v>
      </c>
      <c r="B277" s="13" t="s">
        <v>199</v>
      </c>
      <c r="C277" s="13" t="s">
        <v>195</v>
      </c>
      <c r="D277" s="13" t="s">
        <v>196</v>
      </c>
      <c r="E277" s="74"/>
      <c r="F277" s="75"/>
      <c r="G277" s="76"/>
    </row>
    <row r="278" spans="1:7" ht="15">
      <c r="A278" s="12" t="s">
        <v>0</v>
      </c>
      <c r="B278" s="13" t="s">
        <v>0</v>
      </c>
      <c r="C278" s="13" t="s">
        <v>182</v>
      </c>
      <c r="D278" s="13" t="s">
        <v>0</v>
      </c>
      <c r="E278" s="74"/>
      <c r="F278" s="75"/>
      <c r="G278" s="76"/>
    </row>
    <row r="279" spans="1:7" ht="15.75">
      <c r="A279" s="12" t="s">
        <v>0</v>
      </c>
      <c r="B279" s="13" t="s">
        <v>0</v>
      </c>
      <c r="C279" s="13" t="s">
        <v>368</v>
      </c>
      <c r="D279" s="13" t="s">
        <v>0</v>
      </c>
      <c r="E279" s="74"/>
      <c r="F279" s="75"/>
      <c r="G279" s="77">
        <f>ROUND(SUM(G280:G283),5)</f>
        <v>20344.2864</v>
      </c>
    </row>
    <row r="280" spans="1:7" ht="15">
      <c r="A280" s="12" t="s">
        <v>0</v>
      </c>
      <c r="B280" s="13" t="s">
        <v>0</v>
      </c>
      <c r="C280" s="13" t="s">
        <v>197</v>
      </c>
      <c r="D280" s="13" t="s">
        <v>10</v>
      </c>
      <c r="E280" s="74">
        <f>0.016</f>
        <v>0.016</v>
      </c>
      <c r="F280" s="75">
        <f>'Gia NC,CM'!P21</f>
        <v>1271517.9</v>
      </c>
      <c r="G280" s="76">
        <f>ROUND(E280*F280,5)</f>
        <v>20344.2864</v>
      </c>
    </row>
    <row r="281" spans="1:7" ht="15">
      <c r="A281" s="12" t="s">
        <v>0</v>
      </c>
      <c r="B281" s="13" t="s">
        <v>0</v>
      </c>
      <c r="C281" s="13" t="s">
        <v>0</v>
      </c>
      <c r="D281" s="13" t="s">
        <v>0</v>
      </c>
      <c r="E281" s="74"/>
      <c r="F281" s="75"/>
      <c r="G281" s="76"/>
    </row>
    <row r="282" spans="1:7" ht="15">
      <c r="A282" s="12" t="s">
        <v>200</v>
      </c>
      <c r="B282" s="13" t="s">
        <v>201</v>
      </c>
      <c r="C282" s="13" t="s">
        <v>195</v>
      </c>
      <c r="D282" s="13" t="s">
        <v>196</v>
      </c>
      <c r="E282" s="74"/>
      <c r="F282" s="75"/>
      <c r="G282" s="76"/>
    </row>
    <row r="283" spans="1:7" ht="15">
      <c r="A283" s="12" t="s">
        <v>0</v>
      </c>
      <c r="B283" s="13" t="s">
        <v>0</v>
      </c>
      <c r="C283" s="13" t="s">
        <v>185</v>
      </c>
      <c r="D283" s="13" t="s">
        <v>0</v>
      </c>
      <c r="E283" s="74"/>
      <c r="F283" s="75"/>
      <c r="G283" s="76"/>
    </row>
    <row r="284" spans="1:7" ht="15.75">
      <c r="A284" s="12" t="s">
        <v>0</v>
      </c>
      <c r="B284" s="13" t="s">
        <v>0</v>
      </c>
      <c r="C284" s="13" t="s">
        <v>368</v>
      </c>
      <c r="D284" s="13" t="s">
        <v>0</v>
      </c>
      <c r="E284" s="74"/>
      <c r="F284" s="75"/>
      <c r="G284" s="77">
        <f>ROUND(SUM(G285:G288),5)</f>
        <v>13986.6969</v>
      </c>
    </row>
    <row r="285" spans="1:7" ht="15">
      <c r="A285" s="12" t="s">
        <v>0</v>
      </c>
      <c r="B285" s="13" t="s">
        <v>0</v>
      </c>
      <c r="C285" s="13" t="s">
        <v>197</v>
      </c>
      <c r="D285" s="13" t="s">
        <v>10</v>
      </c>
      <c r="E285" s="74">
        <f>0.011</f>
        <v>0.011</v>
      </c>
      <c r="F285" s="75">
        <f>'Gia NC,CM'!P21</f>
        <v>1271517.9</v>
      </c>
      <c r="G285" s="76">
        <f>ROUND(E285*F285,5)</f>
        <v>13986.6969</v>
      </c>
    </row>
    <row r="286" spans="1:7" ht="15">
      <c r="A286" s="12" t="s">
        <v>0</v>
      </c>
      <c r="B286" s="13" t="s">
        <v>0</v>
      </c>
      <c r="C286" s="13" t="s">
        <v>0</v>
      </c>
      <c r="D286" s="13" t="s">
        <v>0</v>
      </c>
      <c r="E286" s="74"/>
      <c r="F286" s="75"/>
      <c r="G286" s="76"/>
    </row>
    <row r="287" spans="1:7" ht="15">
      <c r="A287" s="12" t="s">
        <v>202</v>
      </c>
      <c r="B287" s="13" t="s">
        <v>203</v>
      </c>
      <c r="C287" s="13" t="s">
        <v>204</v>
      </c>
      <c r="D287" s="13" t="s">
        <v>196</v>
      </c>
      <c r="E287" s="74"/>
      <c r="F287" s="75"/>
      <c r="G287" s="76"/>
    </row>
    <row r="288" spans="1:7" ht="15">
      <c r="A288" s="12" t="s">
        <v>0</v>
      </c>
      <c r="B288" s="13" t="s">
        <v>0</v>
      </c>
      <c r="C288" s="13" t="s">
        <v>178</v>
      </c>
      <c r="D288" s="13" t="s">
        <v>0</v>
      </c>
      <c r="E288" s="74"/>
      <c r="F288" s="75"/>
      <c r="G288" s="76"/>
    </row>
    <row r="289" spans="1:7" ht="15.75">
      <c r="A289" s="12" t="s">
        <v>0</v>
      </c>
      <c r="B289" s="13" t="s">
        <v>0</v>
      </c>
      <c r="C289" s="13" t="s">
        <v>368</v>
      </c>
      <c r="D289" s="13" t="s">
        <v>0</v>
      </c>
      <c r="E289" s="74"/>
      <c r="F289" s="75"/>
      <c r="G289" s="77">
        <f>ROUND(SUM(G290:G293),5)</f>
        <v>30516.4296</v>
      </c>
    </row>
    <row r="290" spans="1:7" ht="15">
      <c r="A290" s="12" t="s">
        <v>0</v>
      </c>
      <c r="B290" s="13" t="s">
        <v>0</v>
      </c>
      <c r="C290" s="13" t="s">
        <v>197</v>
      </c>
      <c r="D290" s="13" t="s">
        <v>10</v>
      </c>
      <c r="E290" s="74">
        <f>0.024</f>
        <v>0.024</v>
      </c>
      <c r="F290" s="75">
        <f>'Gia NC,CM'!P21</f>
        <v>1271517.9</v>
      </c>
      <c r="G290" s="76">
        <f>ROUND(E290*F290,5)</f>
        <v>30516.4296</v>
      </c>
    </row>
    <row r="291" spans="1:7" ht="15">
      <c r="A291" s="12" t="s">
        <v>0</v>
      </c>
      <c r="B291" s="13" t="s">
        <v>0</v>
      </c>
      <c r="C291" s="13" t="s">
        <v>0</v>
      </c>
      <c r="D291" s="13" t="s">
        <v>0</v>
      </c>
      <c r="E291" s="74"/>
      <c r="F291" s="75"/>
      <c r="G291" s="76"/>
    </row>
    <row r="292" spans="1:7" ht="15">
      <c r="A292" s="12" t="s">
        <v>205</v>
      </c>
      <c r="B292" s="13" t="s">
        <v>206</v>
      </c>
      <c r="C292" s="13" t="s">
        <v>204</v>
      </c>
      <c r="D292" s="13" t="s">
        <v>196</v>
      </c>
      <c r="E292" s="74"/>
      <c r="F292" s="75"/>
      <c r="G292" s="76"/>
    </row>
    <row r="293" spans="1:7" ht="15">
      <c r="A293" s="12" t="s">
        <v>0</v>
      </c>
      <c r="B293" s="13" t="s">
        <v>0</v>
      </c>
      <c r="C293" s="13" t="s">
        <v>182</v>
      </c>
      <c r="D293" s="13" t="s">
        <v>0</v>
      </c>
      <c r="E293" s="74"/>
      <c r="F293" s="75"/>
      <c r="G293" s="76"/>
    </row>
    <row r="294" spans="1:7" ht="15.75">
      <c r="A294" s="12" t="s">
        <v>0</v>
      </c>
      <c r="B294" s="13" t="s">
        <v>0</v>
      </c>
      <c r="C294" s="13" t="s">
        <v>368</v>
      </c>
      <c r="D294" s="13" t="s">
        <v>0</v>
      </c>
      <c r="E294" s="74"/>
      <c r="F294" s="75"/>
      <c r="G294" s="77">
        <f>ROUND(SUM(G295:G298),5)</f>
        <v>22887.3222</v>
      </c>
    </row>
    <row r="295" spans="1:7" ht="15">
      <c r="A295" s="12" t="s">
        <v>0</v>
      </c>
      <c r="B295" s="13" t="s">
        <v>0</v>
      </c>
      <c r="C295" s="13" t="s">
        <v>197</v>
      </c>
      <c r="D295" s="13" t="s">
        <v>10</v>
      </c>
      <c r="E295" s="74">
        <f>0.018</f>
        <v>0.018</v>
      </c>
      <c r="F295" s="75">
        <f>'Gia NC,CM'!P21</f>
        <v>1271517.9</v>
      </c>
      <c r="G295" s="76">
        <f>ROUND(E295*F295,5)</f>
        <v>22887.3222</v>
      </c>
    </row>
    <row r="296" spans="1:7" ht="15">
      <c r="A296" s="12" t="s">
        <v>0</v>
      </c>
      <c r="B296" s="13" t="s">
        <v>0</v>
      </c>
      <c r="C296" s="13" t="s">
        <v>0</v>
      </c>
      <c r="D296" s="13" t="s">
        <v>0</v>
      </c>
      <c r="E296" s="74"/>
      <c r="F296" s="75"/>
      <c r="G296" s="76"/>
    </row>
    <row r="297" spans="1:7" ht="15">
      <c r="A297" s="12" t="s">
        <v>207</v>
      </c>
      <c r="B297" s="13" t="s">
        <v>208</v>
      </c>
      <c r="C297" s="13" t="s">
        <v>204</v>
      </c>
      <c r="D297" s="13" t="s">
        <v>196</v>
      </c>
      <c r="E297" s="74"/>
      <c r="F297" s="75"/>
      <c r="G297" s="76"/>
    </row>
    <row r="298" spans="1:7" ht="15">
      <c r="A298" s="12" t="s">
        <v>0</v>
      </c>
      <c r="B298" s="13" t="s">
        <v>0</v>
      </c>
      <c r="C298" s="13" t="s">
        <v>185</v>
      </c>
      <c r="D298" s="13" t="s">
        <v>0</v>
      </c>
      <c r="E298" s="74"/>
      <c r="F298" s="75"/>
      <c r="G298" s="76"/>
    </row>
    <row r="299" spans="1:7" ht="15.75">
      <c r="A299" s="12" t="s">
        <v>0</v>
      </c>
      <c r="B299" s="13" t="s">
        <v>0</v>
      </c>
      <c r="C299" s="13" t="s">
        <v>368</v>
      </c>
      <c r="D299" s="13" t="s">
        <v>0</v>
      </c>
      <c r="E299" s="74"/>
      <c r="F299" s="75"/>
      <c r="G299" s="77">
        <f>ROUND(SUM(G300:G303),5)</f>
        <v>13986.6969</v>
      </c>
    </row>
    <row r="300" spans="1:7" ht="15">
      <c r="A300" s="12" t="s">
        <v>0</v>
      </c>
      <c r="B300" s="13" t="s">
        <v>0</v>
      </c>
      <c r="C300" s="13" t="s">
        <v>197</v>
      </c>
      <c r="D300" s="13" t="s">
        <v>10</v>
      </c>
      <c r="E300" s="74">
        <f>0.011</f>
        <v>0.011</v>
      </c>
      <c r="F300" s="75">
        <f>'Gia NC,CM'!P21</f>
        <v>1271517.9</v>
      </c>
      <c r="G300" s="76">
        <f>ROUND(E300*F300,5)</f>
        <v>13986.6969</v>
      </c>
    </row>
    <row r="301" spans="1:7" ht="15">
      <c r="A301" s="12" t="s">
        <v>0</v>
      </c>
      <c r="B301" s="13" t="s">
        <v>0</v>
      </c>
      <c r="C301" s="13" t="s">
        <v>0</v>
      </c>
      <c r="D301" s="13" t="s">
        <v>0</v>
      </c>
      <c r="E301" s="74"/>
      <c r="F301" s="75"/>
      <c r="G301" s="76"/>
    </row>
    <row r="302" spans="1:7" ht="15">
      <c r="A302" s="12" t="s">
        <v>209</v>
      </c>
      <c r="B302" s="13" t="s">
        <v>210</v>
      </c>
      <c r="C302" s="13" t="s">
        <v>211</v>
      </c>
      <c r="D302" s="13" t="s">
        <v>212</v>
      </c>
      <c r="E302" s="74"/>
      <c r="F302" s="75"/>
      <c r="G302" s="76"/>
    </row>
    <row r="303" spans="1:7" ht="15">
      <c r="A303" s="12" t="s">
        <v>0</v>
      </c>
      <c r="B303" s="13" t="s">
        <v>0</v>
      </c>
      <c r="C303" s="13" t="s">
        <v>213</v>
      </c>
      <c r="D303" s="13" t="s">
        <v>0</v>
      </c>
      <c r="E303" s="74"/>
      <c r="F303" s="75"/>
      <c r="G303" s="76"/>
    </row>
    <row r="304" spans="1:7" ht="15.75">
      <c r="A304" s="12" t="s">
        <v>0</v>
      </c>
      <c r="B304" s="13" t="s">
        <v>0</v>
      </c>
      <c r="C304" s="13" t="s">
        <v>367</v>
      </c>
      <c r="D304" s="13" t="s">
        <v>0</v>
      </c>
      <c r="E304" s="74"/>
      <c r="F304" s="75"/>
      <c r="G304" s="77">
        <f>ROUND(SUM(G305:G308),5)</f>
        <v>24041.512</v>
      </c>
    </row>
    <row r="305" spans="1:7" ht="15">
      <c r="A305" s="12" t="s">
        <v>0</v>
      </c>
      <c r="B305" s="13" t="s">
        <v>0</v>
      </c>
      <c r="C305" s="13" t="s">
        <v>7</v>
      </c>
      <c r="D305" s="13" t="s">
        <v>8</v>
      </c>
      <c r="E305" s="74">
        <f>0.11</f>
        <v>0.11</v>
      </c>
      <c r="F305" s="75">
        <f>'Gia NC,CM'!P8</f>
        <v>218559.2</v>
      </c>
      <c r="G305" s="76">
        <f>ROUND(E305*F305,5)</f>
        <v>24041.512</v>
      </c>
    </row>
    <row r="306" spans="1:7" ht="15">
      <c r="A306" s="12" t="s">
        <v>0</v>
      </c>
      <c r="B306" s="13" t="s">
        <v>0</v>
      </c>
      <c r="C306" s="13" t="s">
        <v>0</v>
      </c>
      <c r="D306" s="13" t="s">
        <v>0</v>
      </c>
      <c r="E306" s="74"/>
      <c r="F306" s="75"/>
      <c r="G306" s="76"/>
    </row>
    <row r="307" spans="1:7" ht="15">
      <c r="A307" s="12" t="s">
        <v>214</v>
      </c>
      <c r="B307" s="13" t="s">
        <v>215</v>
      </c>
      <c r="C307" s="13" t="s">
        <v>211</v>
      </c>
      <c r="D307" s="13" t="s">
        <v>21</v>
      </c>
      <c r="E307" s="74"/>
      <c r="F307" s="75"/>
      <c r="G307" s="76"/>
    </row>
    <row r="308" spans="1:7" ht="15">
      <c r="A308" s="12" t="s">
        <v>0</v>
      </c>
      <c r="B308" s="13" t="s">
        <v>0</v>
      </c>
      <c r="C308" s="13" t="s">
        <v>216</v>
      </c>
      <c r="D308" s="13" t="s">
        <v>0</v>
      </c>
      <c r="E308" s="74"/>
      <c r="F308" s="75"/>
      <c r="G308" s="76"/>
    </row>
    <row r="309" spans="1:7" ht="15.75">
      <c r="A309" s="12" t="s">
        <v>0</v>
      </c>
      <c r="B309" s="13" t="s">
        <v>0</v>
      </c>
      <c r="C309" s="13" t="s">
        <v>367</v>
      </c>
      <c r="D309" s="13" t="s">
        <v>0</v>
      </c>
      <c r="E309" s="74"/>
      <c r="F309" s="75"/>
      <c r="G309" s="77">
        <f>ROUND(SUM(G310:G313),5)</f>
        <v>19670.328</v>
      </c>
    </row>
    <row r="310" spans="1:7" ht="15">
      <c r="A310" s="12" t="s">
        <v>0</v>
      </c>
      <c r="B310" s="13" t="s">
        <v>0</v>
      </c>
      <c r="C310" s="13" t="s">
        <v>7</v>
      </c>
      <c r="D310" s="13" t="s">
        <v>8</v>
      </c>
      <c r="E310" s="74">
        <f>0.09</f>
        <v>0.09</v>
      </c>
      <c r="F310" s="75">
        <f>'Gia NC,CM'!P8</f>
        <v>218559.2</v>
      </c>
      <c r="G310" s="76">
        <f>ROUND(E310*F310,5)</f>
        <v>19670.328</v>
      </c>
    </row>
    <row r="311" spans="1:7" ht="15">
      <c r="A311" s="12" t="s">
        <v>0</v>
      </c>
      <c r="B311" s="13" t="s">
        <v>0</v>
      </c>
      <c r="C311" s="13" t="s">
        <v>0</v>
      </c>
      <c r="D311" s="13" t="s">
        <v>0</v>
      </c>
      <c r="E311" s="74"/>
      <c r="F311" s="75"/>
      <c r="G311" s="76"/>
    </row>
    <row r="312" spans="1:7" ht="15">
      <c r="A312" s="12" t="s">
        <v>217</v>
      </c>
      <c r="B312" s="13" t="s">
        <v>218</v>
      </c>
      <c r="C312" s="13" t="s">
        <v>211</v>
      </c>
      <c r="D312" s="13" t="s">
        <v>212</v>
      </c>
      <c r="E312" s="74"/>
      <c r="F312" s="75"/>
      <c r="G312" s="76"/>
    </row>
    <row r="313" spans="1:7" ht="15">
      <c r="A313" s="12" t="s">
        <v>0</v>
      </c>
      <c r="B313" s="13" t="s">
        <v>0</v>
      </c>
      <c r="C313" s="13" t="s">
        <v>219</v>
      </c>
      <c r="D313" s="13" t="s">
        <v>0</v>
      </c>
      <c r="E313" s="74"/>
      <c r="F313" s="75"/>
      <c r="G313" s="76"/>
    </row>
    <row r="314" spans="1:7" ht="15.75">
      <c r="A314" s="12" t="s">
        <v>0</v>
      </c>
      <c r="B314" s="13" t="s">
        <v>0</v>
      </c>
      <c r="C314" s="13" t="s">
        <v>367</v>
      </c>
      <c r="D314" s="13" t="s">
        <v>0</v>
      </c>
      <c r="E314" s="74"/>
      <c r="F314" s="75"/>
      <c r="G314" s="77">
        <f>ROUND(SUM(G315:G335),5)</f>
        <v>870945.612</v>
      </c>
    </row>
    <row r="315" spans="1:7" ht="15">
      <c r="A315" s="12" t="s">
        <v>0</v>
      </c>
      <c r="B315" s="13" t="s">
        <v>0</v>
      </c>
      <c r="C315" s="13" t="s">
        <v>7</v>
      </c>
      <c r="D315" s="13" t="s">
        <v>8</v>
      </c>
      <c r="E315" s="74">
        <f>0.21</f>
        <v>0.21</v>
      </c>
      <c r="F315" s="75">
        <f>'Gia NC,CM'!P8</f>
        <v>218559.2</v>
      </c>
      <c r="G315" s="76">
        <f>ROUND(E315*F315,5)</f>
        <v>45897.432</v>
      </c>
    </row>
    <row r="316" spans="1:7" ht="15">
      <c r="A316" s="12"/>
      <c r="B316" s="13"/>
      <c r="C316" s="13"/>
      <c r="D316" s="13"/>
      <c r="E316" s="74"/>
      <c r="F316" s="75"/>
      <c r="G316" s="76"/>
    </row>
    <row r="317" spans="1:7" ht="15">
      <c r="A317" s="173">
        <v>46</v>
      </c>
      <c r="B317" s="13" t="s">
        <v>546</v>
      </c>
      <c r="C317" s="13" t="s">
        <v>547</v>
      </c>
      <c r="D317" s="13" t="s">
        <v>548</v>
      </c>
      <c r="E317" s="74"/>
      <c r="F317" s="75"/>
      <c r="G317" s="76"/>
    </row>
    <row r="318" spans="1:7" ht="15.75">
      <c r="A318" s="12" t="s">
        <v>0</v>
      </c>
      <c r="B318" s="13" t="s">
        <v>0</v>
      </c>
      <c r="C318" s="13" t="s">
        <v>369</v>
      </c>
      <c r="D318" s="13" t="s">
        <v>0</v>
      </c>
      <c r="E318" s="74"/>
      <c r="F318" s="75"/>
      <c r="G318" s="77">
        <f>ROUND(SUM(G319:G319),5)</f>
        <v>212400</v>
      </c>
    </row>
    <row r="319" spans="1:7" ht="15">
      <c r="A319" s="12" t="s">
        <v>0</v>
      </c>
      <c r="B319" s="13" t="s">
        <v>0</v>
      </c>
      <c r="C319" s="13" t="s">
        <v>549</v>
      </c>
      <c r="D319" s="13" t="s">
        <v>103</v>
      </c>
      <c r="E319" s="74">
        <f>8</f>
        <v>8</v>
      </c>
      <c r="F319" s="75">
        <f>'Gia VL'!Q70</f>
        <v>26550</v>
      </c>
      <c r="G319" s="76">
        <f>ROUND(E319*F319,5)</f>
        <v>212400</v>
      </c>
    </row>
    <row r="320" spans="1:7" ht="15.75">
      <c r="A320" s="12" t="s">
        <v>0</v>
      </c>
      <c r="B320" s="13" t="s">
        <v>0</v>
      </c>
      <c r="C320" s="13" t="s">
        <v>370</v>
      </c>
      <c r="D320" s="13" t="s">
        <v>0</v>
      </c>
      <c r="E320" s="74"/>
      <c r="F320" s="75"/>
      <c r="G320" s="77">
        <f>ROUND(SUM(G321:G321),5)</f>
        <v>181207.8</v>
      </c>
    </row>
    <row r="321" spans="1:7" ht="15">
      <c r="A321" s="12" t="s">
        <v>0</v>
      </c>
      <c r="B321" s="13" t="s">
        <v>0</v>
      </c>
      <c r="C321" s="13" t="s">
        <v>550</v>
      </c>
      <c r="D321" s="13" t="s">
        <v>8</v>
      </c>
      <c r="E321" s="74">
        <f>0.69</f>
        <v>0.69</v>
      </c>
      <c r="F321" s="75">
        <f>'Gia NC,CM'!P24</f>
        <v>262620</v>
      </c>
      <c r="G321" s="76">
        <f>ROUND(E321*F321,5)</f>
        <v>181207.8</v>
      </c>
    </row>
    <row r="322" spans="1:7" ht="15.75">
      <c r="A322" s="12" t="s">
        <v>0</v>
      </c>
      <c r="B322" s="13" t="s">
        <v>0</v>
      </c>
      <c r="C322" s="13" t="s">
        <v>371</v>
      </c>
      <c r="D322" s="13" t="s">
        <v>0</v>
      </c>
      <c r="E322" s="74"/>
      <c r="F322" s="75"/>
      <c r="G322" s="77">
        <f>ROUND(SUM(G323:G326),5)</f>
        <v>18916.29</v>
      </c>
    </row>
    <row r="323" spans="1:7" ht="15">
      <c r="A323" s="12" t="s">
        <v>0</v>
      </c>
      <c r="B323" s="13" t="s">
        <v>0</v>
      </c>
      <c r="C323" s="13" t="s">
        <v>551</v>
      </c>
      <c r="D323" s="13" t="s">
        <v>10</v>
      </c>
      <c r="E323" s="74">
        <f>0.281</f>
        <v>0.281</v>
      </c>
      <c r="F323" s="75">
        <f>'Gia NC,CM'!P22</f>
        <v>48609</v>
      </c>
      <c r="G323" s="76">
        <f>ROUND(E323*F323,5)</f>
        <v>13659.129</v>
      </c>
    </row>
    <row r="324" spans="1:7" ht="15">
      <c r="A324" s="12" t="s">
        <v>0</v>
      </c>
      <c r="B324" s="13" t="s">
        <v>0</v>
      </c>
      <c r="C324" s="13" t="s">
        <v>552</v>
      </c>
      <c r="D324" s="13" t="s">
        <v>10</v>
      </c>
      <c r="E324" s="74">
        <f>0.063</f>
        <v>0.063</v>
      </c>
      <c r="F324" s="75">
        <f>'Gia NC,CM'!P23</f>
        <v>83447</v>
      </c>
      <c r="G324" s="76">
        <f>ROUND(E324*F324,5)</f>
        <v>5257.161</v>
      </c>
    </row>
    <row r="325" spans="1:7" ht="15" hidden="1">
      <c r="A325" s="12" t="s">
        <v>0</v>
      </c>
      <c r="B325" s="13" t="s">
        <v>0</v>
      </c>
      <c r="C325" s="13" t="s">
        <v>0</v>
      </c>
      <c r="D325" s="13" t="s">
        <v>0</v>
      </c>
      <c r="E325" s="74"/>
      <c r="F325" s="75"/>
      <c r="G325" s="76"/>
    </row>
    <row r="326" spans="1:7" ht="15" hidden="1">
      <c r="A326" s="12" t="s">
        <v>0</v>
      </c>
      <c r="B326" s="13" t="s">
        <v>0</v>
      </c>
      <c r="C326" s="13" t="s">
        <v>0</v>
      </c>
      <c r="D326" s="13" t="s">
        <v>0</v>
      </c>
      <c r="E326" s="74"/>
      <c r="F326" s="75"/>
      <c r="G326" s="76"/>
    </row>
    <row r="327" spans="1:7" ht="15" hidden="1">
      <c r="A327" s="12" t="s">
        <v>0</v>
      </c>
      <c r="B327" s="13" t="s">
        <v>0</v>
      </c>
      <c r="C327" s="13" t="s">
        <v>0</v>
      </c>
      <c r="D327" s="13" t="s">
        <v>0</v>
      </c>
      <c r="E327" s="74"/>
      <c r="F327" s="75"/>
      <c r="G327" s="76"/>
    </row>
    <row r="328" spans="1:7" ht="15" hidden="1">
      <c r="A328" s="12" t="s">
        <v>0</v>
      </c>
      <c r="B328" s="13" t="s">
        <v>0</v>
      </c>
      <c r="C328" s="13" t="s">
        <v>0</v>
      </c>
      <c r="D328" s="13" t="s">
        <v>0</v>
      </c>
      <c r="E328" s="74"/>
      <c r="F328" s="75"/>
      <c r="G328" s="76"/>
    </row>
    <row r="329" spans="1:7" ht="15" hidden="1">
      <c r="A329" s="12" t="s">
        <v>0</v>
      </c>
      <c r="B329" s="13" t="s">
        <v>0</v>
      </c>
      <c r="C329" s="13" t="s">
        <v>0</v>
      </c>
      <c r="D329" s="13" t="s">
        <v>0</v>
      </c>
      <c r="E329" s="74"/>
      <c r="F329" s="75"/>
      <c r="G329" s="76"/>
    </row>
    <row r="330" spans="1:7" ht="15" hidden="1">
      <c r="A330" s="12" t="s">
        <v>0</v>
      </c>
      <c r="B330" s="13" t="s">
        <v>0</v>
      </c>
      <c r="C330" s="13" t="s">
        <v>0</v>
      </c>
      <c r="D330" s="13" t="s">
        <v>0</v>
      </c>
      <c r="E330" s="74"/>
      <c r="F330" s="75"/>
      <c r="G330" s="76"/>
    </row>
    <row r="331" spans="1:7" ht="15" hidden="1">
      <c r="A331" s="12" t="s">
        <v>0</v>
      </c>
      <c r="B331" s="13" t="s">
        <v>0</v>
      </c>
      <c r="C331" s="13" t="s">
        <v>0</v>
      </c>
      <c r="D331" s="13" t="s">
        <v>0</v>
      </c>
      <c r="E331" s="74"/>
      <c r="F331" s="75"/>
      <c r="G331" s="76"/>
    </row>
    <row r="332" spans="1:7" ht="15" hidden="1">
      <c r="A332" s="12" t="s">
        <v>0</v>
      </c>
      <c r="B332" s="13" t="s">
        <v>0</v>
      </c>
      <c r="C332" s="13" t="s">
        <v>0</v>
      </c>
      <c r="D332" s="13" t="s">
        <v>0</v>
      </c>
      <c r="E332" s="74"/>
      <c r="F332" s="75"/>
      <c r="G332" s="76"/>
    </row>
    <row r="333" spans="1:7" ht="15" hidden="1">
      <c r="A333" s="12" t="s">
        <v>0</v>
      </c>
      <c r="B333" s="13" t="s">
        <v>0</v>
      </c>
      <c r="C333" s="13" t="s">
        <v>0</v>
      </c>
      <c r="D333" s="13" t="s">
        <v>0</v>
      </c>
      <c r="E333" s="74"/>
      <c r="F333" s="75"/>
      <c r="G333" s="76"/>
    </row>
    <row r="334" spans="1:7" ht="15" hidden="1">
      <c r="A334" s="12" t="s">
        <v>0</v>
      </c>
      <c r="B334" s="13" t="s">
        <v>0</v>
      </c>
      <c r="C334" s="13" t="s">
        <v>0</v>
      </c>
      <c r="D334" s="13" t="s">
        <v>0</v>
      </c>
      <c r="E334" s="74"/>
      <c r="F334" s="75"/>
      <c r="G334" s="76"/>
    </row>
    <row r="335" spans="1:7" ht="15.75" thickBot="1">
      <c r="A335" s="16" t="s">
        <v>0</v>
      </c>
      <c r="B335" s="17" t="s">
        <v>0</v>
      </c>
      <c r="C335" s="17" t="s">
        <v>0</v>
      </c>
      <c r="D335" s="17" t="s">
        <v>0</v>
      </c>
      <c r="E335" s="78"/>
      <c r="F335" s="79"/>
      <c r="G335" s="80"/>
    </row>
  </sheetData>
  <sheetProtection/>
  <mergeCells count="4">
    <mergeCell ref="A1:G1"/>
    <mergeCell ref="A3:G3"/>
    <mergeCell ref="A4:G4"/>
    <mergeCell ref="A5:G5"/>
  </mergeCells>
  <printOptions horizontalCentered="1"/>
  <pageMargins left="0.4" right="0.2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showZeros="0" zoomScalePageLayoutView="0" workbookViewId="0" topLeftCell="A7">
      <selection activeCell="N29" sqref="N29"/>
    </sheetView>
  </sheetViews>
  <sheetFormatPr defaultColWidth="8.796875" defaultRowHeight="15"/>
  <cols>
    <col min="1" max="1" width="7.59765625" style="90" customWidth="1"/>
    <col min="2" max="2" width="19.59765625" style="90" customWidth="1"/>
    <col min="3" max="3" width="4.09765625" style="90" customWidth="1"/>
    <col min="4" max="4" width="4.09765625" style="91" customWidth="1"/>
    <col min="5" max="5" width="4.59765625" style="92" customWidth="1"/>
    <col min="6" max="7" width="4.09765625" style="92" customWidth="1"/>
    <col min="8" max="8" width="11.09765625" style="90" customWidth="1"/>
    <col min="9" max="9" width="11.59765625" style="90" customWidth="1"/>
    <col min="10" max="10" width="9.09765625" style="93" customWidth="1"/>
    <col min="11" max="15" width="8.59765625" style="93" customWidth="1"/>
    <col min="16" max="16" width="9.09765625" style="93" customWidth="1"/>
    <col min="17" max="16384" width="9" style="90" customWidth="1"/>
  </cols>
  <sheetData>
    <row r="1" spans="1:16" ht="22.5" customHeight="1">
      <c r="A1" s="251" t="s">
        <v>501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6" ht="12.75">
      <c r="A2" s="106"/>
      <c r="B2" s="106"/>
      <c r="C2" s="106"/>
      <c r="D2" s="107"/>
      <c r="E2" s="108"/>
      <c r="F2" s="108"/>
      <c r="G2" s="108"/>
      <c r="H2" s="106"/>
      <c r="I2" s="106"/>
      <c r="J2" s="109"/>
      <c r="K2" s="109"/>
      <c r="L2" s="109"/>
      <c r="M2" s="109"/>
      <c r="N2" s="109"/>
      <c r="O2" s="109"/>
      <c r="P2" s="109"/>
    </row>
    <row r="3" spans="1:16" s="39" customFormat="1" ht="15" customHeight="1">
      <c r="A3" s="250" t="s">
        <v>477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</row>
    <row r="4" spans="1:16" s="39" customFormat="1" ht="15" customHeight="1">
      <c r="A4" s="250" t="s">
        <v>478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</row>
    <row r="5" spans="1:16" s="39" customFormat="1" ht="16.5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</row>
    <row r="6" spans="1:16" ht="13.5" thickBot="1">
      <c r="A6" s="106"/>
      <c r="B6" s="106"/>
      <c r="C6" s="106"/>
      <c r="D6" s="107"/>
      <c r="E6" s="108"/>
      <c r="F6" s="108"/>
      <c r="G6" s="108"/>
      <c r="H6" s="106"/>
      <c r="I6" s="106"/>
      <c r="J6" s="109"/>
      <c r="K6" s="109"/>
      <c r="L6" s="109"/>
      <c r="M6" s="109"/>
      <c r="N6" s="109"/>
      <c r="O6" s="109"/>
      <c r="P6" s="109"/>
    </row>
    <row r="7" spans="1:16" ht="45" customHeight="1">
      <c r="A7" s="110" t="s">
        <v>502</v>
      </c>
      <c r="B7" s="111" t="s">
        <v>503</v>
      </c>
      <c r="C7" s="111" t="s">
        <v>504</v>
      </c>
      <c r="D7" s="112" t="s">
        <v>505</v>
      </c>
      <c r="E7" s="113" t="s">
        <v>506</v>
      </c>
      <c r="F7" s="113" t="s">
        <v>507</v>
      </c>
      <c r="G7" s="113" t="s">
        <v>508</v>
      </c>
      <c r="H7" s="111" t="s">
        <v>509</v>
      </c>
      <c r="I7" s="111" t="s">
        <v>510</v>
      </c>
      <c r="J7" s="114" t="s">
        <v>511</v>
      </c>
      <c r="K7" s="114" t="s">
        <v>512</v>
      </c>
      <c r="L7" s="114" t="s">
        <v>513</v>
      </c>
      <c r="M7" s="114" t="s">
        <v>514</v>
      </c>
      <c r="N7" s="114" t="s">
        <v>515</v>
      </c>
      <c r="O7" s="114" t="s">
        <v>516</v>
      </c>
      <c r="P7" s="115" t="s">
        <v>517</v>
      </c>
    </row>
    <row r="8" spans="1:16" ht="12.75">
      <c r="A8" s="100" t="s">
        <v>0</v>
      </c>
      <c r="B8" s="101" t="s">
        <v>7</v>
      </c>
      <c r="C8" s="101" t="s">
        <v>8</v>
      </c>
      <c r="D8" s="102">
        <v>0</v>
      </c>
      <c r="E8" s="103">
        <v>0</v>
      </c>
      <c r="F8" s="103">
        <v>0</v>
      </c>
      <c r="G8" s="103">
        <v>0</v>
      </c>
      <c r="H8" s="101" t="s">
        <v>0</v>
      </c>
      <c r="I8" s="101" t="s">
        <v>401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5">
        <f>ROUND(218559.2,1)</f>
        <v>218559.2</v>
      </c>
    </row>
    <row r="9" spans="1:16" ht="12.75">
      <c r="A9" s="94" t="s">
        <v>0</v>
      </c>
      <c r="B9" s="95" t="s">
        <v>24</v>
      </c>
      <c r="C9" s="95" t="s">
        <v>8</v>
      </c>
      <c r="D9" s="96">
        <v>0</v>
      </c>
      <c r="E9" s="97">
        <v>0</v>
      </c>
      <c r="F9" s="97">
        <v>0</v>
      </c>
      <c r="G9" s="97">
        <v>0</v>
      </c>
      <c r="H9" s="95" t="s">
        <v>0</v>
      </c>
      <c r="I9" s="95" t="s">
        <v>400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9">
        <f>ROUND(230630.3,1)</f>
        <v>230630.3</v>
      </c>
    </row>
    <row r="10" spans="1:16" ht="12.75">
      <c r="A10" s="94" t="s">
        <v>0</v>
      </c>
      <c r="B10" s="95" t="s">
        <v>47</v>
      </c>
      <c r="C10" s="95" t="s">
        <v>8</v>
      </c>
      <c r="D10" s="96">
        <v>0</v>
      </c>
      <c r="E10" s="97">
        <v>0</v>
      </c>
      <c r="F10" s="97">
        <v>0</v>
      </c>
      <c r="G10" s="97">
        <v>0</v>
      </c>
      <c r="H10" s="95" t="s">
        <v>0</v>
      </c>
      <c r="I10" s="95" t="s">
        <v>399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9">
        <f>ROUND(252200,1)</f>
        <v>252200</v>
      </c>
    </row>
    <row r="11" spans="1:16" ht="12.75">
      <c r="A11" s="94" t="s">
        <v>398</v>
      </c>
      <c r="B11" s="95" t="s">
        <v>59</v>
      </c>
      <c r="C11" s="95" t="s">
        <v>10</v>
      </c>
      <c r="D11" s="96">
        <v>250</v>
      </c>
      <c r="E11" s="97">
        <v>9</v>
      </c>
      <c r="F11" s="97">
        <v>5.1</v>
      </c>
      <c r="G11" s="97">
        <v>5</v>
      </c>
      <c r="H11" s="95" t="s">
        <v>382</v>
      </c>
      <c r="I11" s="95" t="s">
        <v>381</v>
      </c>
      <c r="J11" s="98">
        <v>645827</v>
      </c>
      <c r="K11" s="98">
        <f>J11*(1-0.1)*E11/D11*10</f>
        <v>209247.948</v>
      </c>
      <c r="L11" s="98">
        <f aca="true" t="shared" si="0" ref="L11:L21">J11*F11/D11*10</f>
        <v>131748.70799999998</v>
      </c>
      <c r="M11" s="98">
        <f>25*16717*1.03</f>
        <v>430462.75</v>
      </c>
      <c r="N11" s="98">
        <f>(1*227033.9+1*317847.5)*1</f>
        <v>544881.4</v>
      </c>
      <c r="O11" s="98">
        <f aca="true" t="shared" si="1" ref="O11:O21">J11*G11/D11*10</f>
        <v>129165.40000000001</v>
      </c>
      <c r="P11" s="99">
        <f aca="true" t="shared" si="2" ref="P11:P21">ROUND(K11+L11+M11+N11+O11,1)</f>
        <v>1445506.2</v>
      </c>
    </row>
    <row r="12" spans="1:16" ht="12.75">
      <c r="A12" s="94" t="s">
        <v>397</v>
      </c>
      <c r="B12" s="95" t="s">
        <v>104</v>
      </c>
      <c r="C12" s="95" t="s">
        <v>10</v>
      </c>
      <c r="D12" s="96">
        <v>200</v>
      </c>
      <c r="E12" s="97">
        <v>21</v>
      </c>
      <c r="F12" s="97">
        <v>4.8</v>
      </c>
      <c r="G12" s="97">
        <v>5</v>
      </c>
      <c r="H12" s="95" t="s">
        <v>396</v>
      </c>
      <c r="I12" s="95" t="s">
        <v>391</v>
      </c>
      <c r="J12" s="98">
        <v>16000</v>
      </c>
      <c r="K12" s="98">
        <f>J12*E12/D12*10</f>
        <v>16800</v>
      </c>
      <c r="L12" s="98">
        <f t="shared" si="0"/>
        <v>3840</v>
      </c>
      <c r="M12" s="98">
        <f>48*1864.4*1.05</f>
        <v>93965.76000000001</v>
      </c>
      <c r="N12" s="98">
        <f>(1*290812.5)*1</f>
        <v>290812.5</v>
      </c>
      <c r="O12" s="98">
        <f t="shared" si="1"/>
        <v>4000</v>
      </c>
      <c r="P12" s="99">
        <f t="shared" si="2"/>
        <v>409418.3</v>
      </c>
    </row>
    <row r="13" spans="1:16" ht="12.75">
      <c r="A13" s="94" t="s">
        <v>395</v>
      </c>
      <c r="B13" s="95" t="s">
        <v>25</v>
      </c>
      <c r="C13" s="95" t="s">
        <v>10</v>
      </c>
      <c r="D13" s="96">
        <v>165</v>
      </c>
      <c r="E13" s="97">
        <v>19</v>
      </c>
      <c r="F13" s="97">
        <v>6.5</v>
      </c>
      <c r="G13" s="97">
        <v>5</v>
      </c>
      <c r="H13" s="95" t="s">
        <v>394</v>
      </c>
      <c r="I13" s="95" t="s">
        <v>384</v>
      </c>
      <c r="J13" s="98">
        <v>30210</v>
      </c>
      <c r="K13" s="98">
        <f>J13*(1-0.1)*E13/D13*10</f>
        <v>31308.545454545456</v>
      </c>
      <c r="L13" s="98">
        <f t="shared" si="0"/>
        <v>11900.90909090909</v>
      </c>
      <c r="M13" s="98">
        <f>11*1864.4*1.05</f>
        <v>21533.820000000003</v>
      </c>
      <c r="N13" s="98">
        <f>(1*244987.5)*1</f>
        <v>244987.5</v>
      </c>
      <c r="O13" s="98">
        <f t="shared" si="1"/>
        <v>9154.545454545456</v>
      </c>
      <c r="P13" s="99">
        <f t="shared" si="2"/>
        <v>318885.3</v>
      </c>
    </row>
    <row r="14" spans="1:16" ht="12.75">
      <c r="A14" s="94" t="s">
        <v>393</v>
      </c>
      <c r="B14" s="95" t="s">
        <v>9</v>
      </c>
      <c r="C14" s="95" t="s">
        <v>10</v>
      </c>
      <c r="D14" s="96">
        <v>280</v>
      </c>
      <c r="E14" s="97">
        <v>17</v>
      </c>
      <c r="F14" s="97">
        <v>5.8</v>
      </c>
      <c r="G14" s="97">
        <v>5</v>
      </c>
      <c r="H14" s="95" t="s">
        <v>392</v>
      </c>
      <c r="I14" s="95" t="s">
        <v>391</v>
      </c>
      <c r="J14" s="98">
        <v>809944</v>
      </c>
      <c r="K14" s="98">
        <f>J14*(1-0.1)*E14/D14*10</f>
        <v>442576.54285714286</v>
      </c>
      <c r="L14" s="98">
        <f t="shared" si="0"/>
        <v>167774.11428571428</v>
      </c>
      <c r="M14" s="98">
        <f>43*16717*1.03</f>
        <v>740395.93</v>
      </c>
      <c r="N14" s="98">
        <f>(1*290812.5)*1</f>
        <v>290812.5</v>
      </c>
      <c r="O14" s="98">
        <f t="shared" si="1"/>
        <v>144632.85714285713</v>
      </c>
      <c r="P14" s="99">
        <f t="shared" si="2"/>
        <v>1786191.9</v>
      </c>
    </row>
    <row r="15" spans="1:16" ht="12.75">
      <c r="A15" s="94" t="s">
        <v>390</v>
      </c>
      <c r="B15" s="95" t="s">
        <v>26</v>
      </c>
      <c r="C15" s="95" t="s">
        <v>10</v>
      </c>
      <c r="D15" s="96">
        <v>150</v>
      </c>
      <c r="E15" s="97">
        <v>25</v>
      </c>
      <c r="F15" s="97">
        <v>8.8</v>
      </c>
      <c r="G15" s="97">
        <v>4</v>
      </c>
      <c r="H15" s="95" t="s">
        <v>389</v>
      </c>
      <c r="I15" s="95" t="s">
        <v>384</v>
      </c>
      <c r="J15" s="98">
        <v>6420</v>
      </c>
      <c r="K15" s="98">
        <f>J15*E15/D15*10</f>
        <v>10700</v>
      </c>
      <c r="L15" s="98">
        <f t="shared" si="0"/>
        <v>3766.4000000000005</v>
      </c>
      <c r="M15" s="98">
        <f>5*1864.4*1.05</f>
        <v>9788.1</v>
      </c>
      <c r="N15" s="98">
        <f>(1*244987.5)*1</f>
        <v>244987.5</v>
      </c>
      <c r="O15" s="98">
        <f t="shared" si="1"/>
        <v>1712</v>
      </c>
      <c r="P15" s="99">
        <f t="shared" si="2"/>
        <v>270954</v>
      </c>
    </row>
    <row r="16" spans="1:16" ht="12.75">
      <c r="A16" s="94" t="s">
        <v>388</v>
      </c>
      <c r="B16" s="95" t="s">
        <v>33</v>
      </c>
      <c r="C16" s="95" t="s">
        <v>10</v>
      </c>
      <c r="D16" s="96">
        <v>150</v>
      </c>
      <c r="E16" s="97">
        <v>20</v>
      </c>
      <c r="F16" s="97">
        <v>8.8</v>
      </c>
      <c r="G16" s="97">
        <v>4</v>
      </c>
      <c r="H16" s="95" t="s">
        <v>387</v>
      </c>
      <c r="I16" s="95" t="s">
        <v>384</v>
      </c>
      <c r="J16" s="98">
        <v>7395</v>
      </c>
      <c r="K16" s="98">
        <f>J16*E16/D16*10</f>
        <v>9860</v>
      </c>
      <c r="L16" s="98">
        <f t="shared" si="0"/>
        <v>4338.400000000001</v>
      </c>
      <c r="M16" s="98">
        <f>7*1864.4*1.05</f>
        <v>13703.340000000002</v>
      </c>
      <c r="N16" s="98">
        <f>(1*244987.5)*1</f>
        <v>244987.5</v>
      </c>
      <c r="O16" s="98">
        <f t="shared" si="1"/>
        <v>1972</v>
      </c>
      <c r="P16" s="99">
        <f t="shared" si="2"/>
        <v>274861.2</v>
      </c>
    </row>
    <row r="17" spans="1:16" ht="12.75">
      <c r="A17" s="94" t="s">
        <v>386</v>
      </c>
      <c r="B17" s="95" t="s">
        <v>52</v>
      </c>
      <c r="C17" s="95" t="s">
        <v>10</v>
      </c>
      <c r="D17" s="96">
        <v>200</v>
      </c>
      <c r="E17" s="97">
        <v>20</v>
      </c>
      <c r="F17" s="97">
        <v>5.4</v>
      </c>
      <c r="G17" s="97">
        <v>4</v>
      </c>
      <c r="H17" s="95" t="s">
        <v>385</v>
      </c>
      <c r="I17" s="95" t="s">
        <v>384</v>
      </c>
      <c r="J17" s="98">
        <v>35771</v>
      </c>
      <c r="K17" s="98">
        <f>J17*(1-0.1)*E17/D17*10</f>
        <v>32193.899999999998</v>
      </c>
      <c r="L17" s="98">
        <f t="shared" si="0"/>
        <v>9658.170000000002</v>
      </c>
      <c r="M17" s="98">
        <f>4*20409*1.02</f>
        <v>83268.72</v>
      </c>
      <c r="N17" s="98">
        <f>(1*244987.5)*1</f>
        <v>244987.5</v>
      </c>
      <c r="O17" s="98">
        <f t="shared" si="1"/>
        <v>7154.2</v>
      </c>
      <c r="P17" s="99">
        <f t="shared" si="2"/>
        <v>377262.5</v>
      </c>
    </row>
    <row r="18" spans="1:16" ht="12.75">
      <c r="A18" s="94" t="s">
        <v>383</v>
      </c>
      <c r="B18" s="95" t="s">
        <v>76</v>
      </c>
      <c r="C18" s="95" t="s">
        <v>10</v>
      </c>
      <c r="D18" s="96">
        <v>280</v>
      </c>
      <c r="E18" s="97">
        <v>13</v>
      </c>
      <c r="F18" s="97">
        <v>4</v>
      </c>
      <c r="G18" s="97">
        <v>5</v>
      </c>
      <c r="H18" s="95" t="s">
        <v>382</v>
      </c>
      <c r="I18" s="95" t="s">
        <v>381</v>
      </c>
      <c r="J18" s="98">
        <v>731758</v>
      </c>
      <c r="K18" s="98">
        <f>J18*(1-0.1)*E18/D18*10</f>
        <v>305770.30714285723</v>
      </c>
      <c r="L18" s="98">
        <f t="shared" si="0"/>
        <v>104536.85714285713</v>
      </c>
      <c r="M18" s="98">
        <f>25*16717*1.03</f>
        <v>430462.75</v>
      </c>
      <c r="N18" s="98">
        <f>(1*227033.9+1*317847.5)*1</f>
        <v>544881.4</v>
      </c>
      <c r="O18" s="98">
        <f t="shared" si="1"/>
        <v>130671.07142857143</v>
      </c>
      <c r="P18" s="99">
        <f t="shared" si="2"/>
        <v>1516322.4</v>
      </c>
    </row>
    <row r="19" spans="1:16" ht="12.75">
      <c r="A19" s="94" t="s">
        <v>383</v>
      </c>
      <c r="B19" s="95" t="s">
        <v>105</v>
      </c>
      <c r="C19" s="95" t="s">
        <v>10</v>
      </c>
      <c r="D19" s="96">
        <v>280</v>
      </c>
      <c r="E19" s="97">
        <v>13</v>
      </c>
      <c r="F19" s="97">
        <v>4</v>
      </c>
      <c r="G19" s="97">
        <v>5</v>
      </c>
      <c r="H19" s="95" t="s">
        <v>382</v>
      </c>
      <c r="I19" s="95" t="s">
        <v>381</v>
      </c>
      <c r="J19" s="98">
        <v>731758</v>
      </c>
      <c r="K19" s="98">
        <f>J19*(1-0.1)*E19/D19*10</f>
        <v>305770.30714285723</v>
      </c>
      <c r="L19" s="98">
        <f t="shared" si="0"/>
        <v>104536.85714285713</v>
      </c>
      <c r="M19" s="98">
        <f>25*16717*1.03</f>
        <v>430462.75</v>
      </c>
      <c r="N19" s="98">
        <f>(1*227033.9+1*317847.5)*1</f>
        <v>544881.4</v>
      </c>
      <c r="O19" s="98">
        <f t="shared" si="1"/>
        <v>130671.07142857143</v>
      </c>
      <c r="P19" s="99">
        <f t="shared" si="2"/>
        <v>1516322.4</v>
      </c>
    </row>
    <row r="20" spans="1:16" ht="12.75">
      <c r="A20" s="94" t="s">
        <v>380</v>
      </c>
      <c r="B20" s="95" t="s">
        <v>179</v>
      </c>
      <c r="C20" s="95" t="s">
        <v>10</v>
      </c>
      <c r="D20" s="96">
        <v>260</v>
      </c>
      <c r="E20" s="97">
        <v>17</v>
      </c>
      <c r="F20" s="97">
        <v>7.3</v>
      </c>
      <c r="G20" s="97">
        <v>6</v>
      </c>
      <c r="H20" s="95" t="s">
        <v>379</v>
      </c>
      <c r="I20" s="95" t="s">
        <v>376</v>
      </c>
      <c r="J20" s="98">
        <v>616643</v>
      </c>
      <c r="K20" s="98">
        <f>J20*(1-0.1)*E20/D20*10</f>
        <v>362870.68846153846</v>
      </c>
      <c r="L20" s="98">
        <f t="shared" si="0"/>
        <v>173134.38076923075</v>
      </c>
      <c r="M20" s="98">
        <f>46*16717*1.03</f>
        <v>792051.46</v>
      </c>
      <c r="N20" s="98">
        <f>(1*267900)*1</f>
        <v>267900</v>
      </c>
      <c r="O20" s="98">
        <f t="shared" si="1"/>
        <v>142302.23076923078</v>
      </c>
      <c r="P20" s="99">
        <f t="shared" si="2"/>
        <v>1738258.8</v>
      </c>
    </row>
    <row r="21" spans="1:16" ht="12.75">
      <c r="A21" s="174" t="s">
        <v>378</v>
      </c>
      <c r="B21" s="175" t="s">
        <v>197</v>
      </c>
      <c r="C21" s="175" t="s">
        <v>10</v>
      </c>
      <c r="D21" s="176">
        <v>250</v>
      </c>
      <c r="E21" s="177">
        <v>17</v>
      </c>
      <c r="F21" s="177">
        <v>6.2</v>
      </c>
      <c r="G21" s="177">
        <v>6</v>
      </c>
      <c r="H21" s="175" t="s">
        <v>377</v>
      </c>
      <c r="I21" s="175" t="s">
        <v>376</v>
      </c>
      <c r="J21" s="178">
        <v>427131</v>
      </c>
      <c r="K21" s="178">
        <f>J21*(1-0.1)*E21/D21*10</f>
        <v>261404.17200000002</v>
      </c>
      <c r="L21" s="178">
        <f t="shared" si="0"/>
        <v>105928.48800000001</v>
      </c>
      <c r="M21" s="178">
        <f>31*16717*1.03</f>
        <v>533773.81</v>
      </c>
      <c r="N21" s="178">
        <f>(1*267900)*1</f>
        <v>267900</v>
      </c>
      <c r="O21" s="178">
        <f t="shared" si="1"/>
        <v>102511.44</v>
      </c>
      <c r="P21" s="179">
        <f t="shared" si="2"/>
        <v>1271517.9</v>
      </c>
    </row>
    <row r="22" spans="1:16" ht="12.75">
      <c r="A22" s="100" t="s">
        <v>553</v>
      </c>
      <c r="B22" s="101" t="s">
        <v>551</v>
      </c>
      <c r="C22" s="101" t="s">
        <v>10</v>
      </c>
      <c r="D22" s="102"/>
      <c r="E22" s="103"/>
      <c r="F22" s="103"/>
      <c r="G22" s="103"/>
      <c r="H22" s="101"/>
      <c r="I22" s="101"/>
      <c r="J22" s="104"/>
      <c r="K22" s="104"/>
      <c r="L22" s="104"/>
      <c r="M22" s="104"/>
      <c r="N22" s="104"/>
      <c r="O22" s="104"/>
      <c r="P22" s="105">
        <v>48609</v>
      </c>
    </row>
    <row r="23" spans="1:16" ht="12.75">
      <c r="A23" s="174" t="s">
        <v>0</v>
      </c>
      <c r="B23" s="175" t="s">
        <v>552</v>
      </c>
      <c r="C23" s="175" t="s">
        <v>10</v>
      </c>
      <c r="D23" s="176">
        <v>0</v>
      </c>
      <c r="E23" s="177">
        <v>0</v>
      </c>
      <c r="F23" s="177">
        <v>0</v>
      </c>
      <c r="G23" s="177">
        <v>0</v>
      </c>
      <c r="H23" s="175" t="s">
        <v>0</v>
      </c>
      <c r="I23" s="175" t="s">
        <v>0</v>
      </c>
      <c r="J23" s="178">
        <v>0</v>
      </c>
      <c r="K23" s="178"/>
      <c r="L23" s="178"/>
      <c r="M23" s="178"/>
      <c r="N23" s="178"/>
      <c r="O23" s="178"/>
      <c r="P23" s="179">
        <v>83447</v>
      </c>
    </row>
    <row r="24" spans="1:16" ht="13.5" thickBot="1">
      <c r="A24" s="180" t="s">
        <v>0</v>
      </c>
      <c r="B24" s="181" t="s">
        <v>550</v>
      </c>
      <c r="C24" s="181" t="s">
        <v>8</v>
      </c>
      <c r="D24" s="182">
        <v>0</v>
      </c>
      <c r="E24" s="183">
        <v>0</v>
      </c>
      <c r="F24" s="183">
        <v>0</v>
      </c>
      <c r="G24" s="183">
        <v>0</v>
      </c>
      <c r="H24" s="181" t="s">
        <v>0</v>
      </c>
      <c r="I24" s="181" t="s">
        <v>554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5">
        <f>ROUND(262620,1)</f>
        <v>262620</v>
      </c>
    </row>
  </sheetData>
  <sheetProtection/>
  <mergeCells count="4">
    <mergeCell ref="A1:P1"/>
    <mergeCell ref="A3:P3"/>
    <mergeCell ref="A4:P4"/>
    <mergeCell ref="A5:P5"/>
  </mergeCells>
  <printOptions horizontalCentered="1"/>
  <pageMargins left="0.4" right="0.2" top="0.3" bottom="0.3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0"/>
  <sheetViews>
    <sheetView showZeros="0" zoomScalePageLayoutView="0" workbookViewId="0" topLeftCell="A52">
      <selection activeCell="E73" sqref="E73"/>
    </sheetView>
  </sheetViews>
  <sheetFormatPr defaultColWidth="8.796875" defaultRowHeight="15"/>
  <cols>
    <col min="1" max="1" width="3.59765625" style="41" customWidth="1"/>
    <col min="2" max="2" width="18.5" style="41" customWidth="1"/>
    <col min="3" max="3" width="4.09765625" style="41" customWidth="1"/>
    <col min="4" max="4" width="13.59765625" style="41" customWidth="1"/>
    <col min="5" max="5" width="10.3984375" style="41" customWidth="1"/>
    <col min="6" max="9" width="3.5" style="121" customWidth="1"/>
    <col min="10" max="10" width="7" style="42" customWidth="1"/>
    <col min="11" max="13" width="4.3984375" style="123" customWidth="1"/>
    <col min="14" max="15" width="9.3984375" style="42" customWidth="1"/>
    <col min="16" max="17" width="10.8984375" style="42" customWidth="1"/>
    <col min="18" max="18" width="12" style="41" customWidth="1"/>
    <col min="19" max="16384" width="9" style="41" customWidth="1"/>
  </cols>
  <sheetData>
    <row r="1" spans="1:17" ht="21" customHeight="1">
      <c r="A1" s="251" t="s">
        <v>518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ht="14.25">
      <c r="A2" s="44"/>
      <c r="B2" s="44"/>
      <c r="C2" s="44"/>
      <c r="D2" s="44"/>
      <c r="E2" s="44"/>
      <c r="F2" s="132"/>
      <c r="G2" s="132"/>
      <c r="H2" s="132"/>
      <c r="I2" s="132"/>
      <c r="J2" s="45"/>
      <c r="K2" s="133"/>
      <c r="L2" s="133"/>
      <c r="M2" s="133"/>
      <c r="N2" s="45"/>
      <c r="O2" s="45"/>
      <c r="P2" s="45"/>
      <c r="Q2" s="45"/>
    </row>
    <row r="3" spans="1:17" s="39" customFormat="1" ht="16.5" customHeight="1">
      <c r="A3" s="250" t="s">
        <v>477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</row>
    <row r="4" spans="1:17" s="39" customFormat="1" ht="16.5" customHeight="1">
      <c r="A4" s="250" t="s">
        <v>478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7" s="39" customFormat="1" ht="16.5" customHeight="1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</row>
    <row r="6" spans="1:17" ht="15" thickBot="1">
      <c r="A6" s="44"/>
      <c r="B6" s="44"/>
      <c r="C6" s="44"/>
      <c r="D6" s="44"/>
      <c r="E6" s="44"/>
      <c r="F6" s="132"/>
      <c r="G6" s="132"/>
      <c r="H6" s="132"/>
      <c r="I6" s="132"/>
      <c r="J6" s="45"/>
      <c r="K6" s="133"/>
      <c r="L6" s="133"/>
      <c r="M6" s="133"/>
      <c r="N6" s="45"/>
      <c r="O6" s="45"/>
      <c r="P6" s="45"/>
      <c r="Q6" s="45"/>
    </row>
    <row r="7" spans="1:18" ht="45" customHeight="1">
      <c r="A7" s="137" t="s">
        <v>275</v>
      </c>
      <c r="B7" s="138" t="s">
        <v>519</v>
      </c>
      <c r="C7" s="139" t="s">
        <v>491</v>
      </c>
      <c r="D7" s="138" t="s">
        <v>520</v>
      </c>
      <c r="E7" s="138" t="s">
        <v>521</v>
      </c>
      <c r="F7" s="134" t="s">
        <v>522</v>
      </c>
      <c r="G7" s="134" t="s">
        <v>523</v>
      </c>
      <c r="H7" s="134" t="s">
        <v>524</v>
      </c>
      <c r="I7" s="134" t="s">
        <v>525</v>
      </c>
      <c r="J7" s="135" t="s">
        <v>526</v>
      </c>
      <c r="K7" s="136" t="s">
        <v>527</v>
      </c>
      <c r="L7" s="136" t="s">
        <v>528</v>
      </c>
      <c r="M7" s="136" t="s">
        <v>529</v>
      </c>
      <c r="N7" s="140" t="s">
        <v>530</v>
      </c>
      <c r="O7" s="140" t="s">
        <v>531</v>
      </c>
      <c r="P7" s="141" t="s">
        <v>532</v>
      </c>
      <c r="Q7" s="142" t="s">
        <v>533</v>
      </c>
      <c r="R7" s="41" t="s">
        <v>375</v>
      </c>
    </row>
    <row r="8" spans="1:18" ht="14.25">
      <c r="A8" s="125" t="s">
        <v>366</v>
      </c>
      <c r="B8" s="126" t="s">
        <v>458</v>
      </c>
      <c r="C8" s="126" t="s">
        <v>119</v>
      </c>
      <c r="D8" s="126" t="s">
        <v>0</v>
      </c>
      <c r="E8" s="126" t="s">
        <v>0</v>
      </c>
      <c r="F8" s="127" t="s">
        <v>0</v>
      </c>
      <c r="G8" s="127" t="s">
        <v>0</v>
      </c>
      <c r="H8" s="127"/>
      <c r="I8" s="127" t="s">
        <v>402</v>
      </c>
      <c r="J8" s="128"/>
      <c r="K8" s="129"/>
      <c r="L8" s="129"/>
      <c r="M8" s="129"/>
      <c r="N8" s="130"/>
      <c r="O8" s="130"/>
      <c r="P8" s="130">
        <v>15450</v>
      </c>
      <c r="Q8" s="131">
        <f aca="true" t="shared" si="0" ref="Q8:Q13">N8+O8+P8</f>
        <v>15450</v>
      </c>
      <c r="R8" s="41" t="s">
        <v>0</v>
      </c>
    </row>
    <row r="9" spans="1:18" ht="14.25">
      <c r="A9" s="49" t="s">
        <v>364</v>
      </c>
      <c r="B9" s="50" t="s">
        <v>457</v>
      </c>
      <c r="C9" s="50" t="s">
        <v>121</v>
      </c>
      <c r="D9" s="50" t="s">
        <v>0</v>
      </c>
      <c r="E9" s="50" t="s">
        <v>0</v>
      </c>
      <c r="F9" s="122" t="s">
        <v>0</v>
      </c>
      <c r="G9" s="122" t="s">
        <v>0</v>
      </c>
      <c r="H9" s="122"/>
      <c r="I9" s="122" t="s">
        <v>402</v>
      </c>
      <c r="J9" s="51"/>
      <c r="K9" s="124"/>
      <c r="L9" s="124"/>
      <c r="M9" s="124"/>
      <c r="N9" s="118"/>
      <c r="O9" s="118"/>
      <c r="P9" s="118">
        <v>16691</v>
      </c>
      <c r="Q9" s="119">
        <f t="shared" si="0"/>
        <v>16691</v>
      </c>
      <c r="R9" s="41" t="s">
        <v>0</v>
      </c>
    </row>
    <row r="10" spans="1:18" ht="14.25">
      <c r="A10" s="49" t="s">
        <v>362</v>
      </c>
      <c r="B10" s="50" t="s">
        <v>456</v>
      </c>
      <c r="C10" s="50" t="s">
        <v>121</v>
      </c>
      <c r="D10" s="50" t="s">
        <v>0</v>
      </c>
      <c r="E10" s="50" t="s">
        <v>0</v>
      </c>
      <c r="F10" s="122" t="s">
        <v>0</v>
      </c>
      <c r="G10" s="122" t="s">
        <v>0</v>
      </c>
      <c r="H10" s="122"/>
      <c r="I10" s="122" t="s">
        <v>402</v>
      </c>
      <c r="J10" s="51"/>
      <c r="K10" s="124"/>
      <c r="L10" s="124"/>
      <c r="M10" s="124"/>
      <c r="N10" s="118"/>
      <c r="O10" s="118"/>
      <c r="P10" s="118">
        <v>41800</v>
      </c>
      <c r="Q10" s="119">
        <f t="shared" si="0"/>
        <v>41800</v>
      </c>
      <c r="R10" s="41" t="s">
        <v>0</v>
      </c>
    </row>
    <row r="11" spans="1:18" ht="14.25">
      <c r="A11" s="49" t="s">
        <v>360</v>
      </c>
      <c r="B11" s="50" t="s">
        <v>455</v>
      </c>
      <c r="C11" s="50" t="s">
        <v>103</v>
      </c>
      <c r="D11" s="50" t="s">
        <v>0</v>
      </c>
      <c r="E11" s="50" t="s">
        <v>0</v>
      </c>
      <c r="F11" s="122" t="s">
        <v>0</v>
      </c>
      <c r="G11" s="122" t="s">
        <v>0</v>
      </c>
      <c r="H11" s="122"/>
      <c r="I11" s="122" t="s">
        <v>402</v>
      </c>
      <c r="J11" s="51"/>
      <c r="K11" s="124"/>
      <c r="L11" s="124"/>
      <c r="M11" s="124"/>
      <c r="N11" s="118"/>
      <c r="O11" s="118"/>
      <c r="P11" s="118">
        <v>333615</v>
      </c>
      <c r="Q11" s="119">
        <f t="shared" si="0"/>
        <v>333615</v>
      </c>
      <c r="R11" s="41" t="s">
        <v>0</v>
      </c>
    </row>
    <row r="12" spans="1:18" ht="14.25">
      <c r="A12" s="49" t="s">
        <v>358</v>
      </c>
      <c r="B12" s="50" t="s">
        <v>454</v>
      </c>
      <c r="C12" s="50" t="s">
        <v>103</v>
      </c>
      <c r="D12" s="50" t="s">
        <v>0</v>
      </c>
      <c r="E12" s="50" t="s">
        <v>0</v>
      </c>
      <c r="F12" s="122" t="s">
        <v>0</v>
      </c>
      <c r="G12" s="122" t="s">
        <v>0</v>
      </c>
      <c r="H12" s="122"/>
      <c r="I12" s="122" t="s">
        <v>402</v>
      </c>
      <c r="J12" s="51"/>
      <c r="K12" s="124"/>
      <c r="L12" s="124"/>
      <c r="M12" s="124"/>
      <c r="N12" s="118"/>
      <c r="O12" s="118"/>
      <c r="P12" s="118">
        <v>22267</v>
      </c>
      <c r="Q12" s="119">
        <f t="shared" si="0"/>
        <v>22267</v>
      </c>
      <c r="R12" s="41" t="s">
        <v>0</v>
      </c>
    </row>
    <row r="13" spans="1:18" ht="14.25">
      <c r="A13" s="49" t="s">
        <v>356</v>
      </c>
      <c r="B13" s="50" t="s">
        <v>453</v>
      </c>
      <c r="C13" s="50" t="s">
        <v>21</v>
      </c>
      <c r="D13" s="50" t="s">
        <v>0</v>
      </c>
      <c r="E13" s="50" t="s">
        <v>0</v>
      </c>
      <c r="F13" s="122" t="s">
        <v>0</v>
      </c>
      <c r="G13" s="122" t="s">
        <v>0</v>
      </c>
      <c r="H13" s="122"/>
      <c r="I13" s="122" t="s">
        <v>452</v>
      </c>
      <c r="J13" s="51"/>
      <c r="K13" s="124"/>
      <c r="L13" s="124"/>
      <c r="M13" s="124"/>
      <c r="N13" s="118">
        <f>SUM(N14:N16)</f>
        <v>59604.899999999994</v>
      </c>
      <c r="O13" s="118"/>
      <c r="P13" s="118">
        <v>318182</v>
      </c>
      <c r="Q13" s="119">
        <f t="shared" si="0"/>
        <v>377786.9</v>
      </c>
      <c r="R13" s="41" t="s">
        <v>0</v>
      </c>
    </row>
    <row r="14" spans="1:18" ht="14.25">
      <c r="A14" s="49" t="s">
        <v>0</v>
      </c>
      <c r="B14" s="50" t="s">
        <v>451</v>
      </c>
      <c r="C14" s="50" t="s">
        <v>0</v>
      </c>
      <c r="D14" s="50" t="s">
        <v>412</v>
      </c>
      <c r="E14" s="50" t="s">
        <v>0</v>
      </c>
      <c r="F14" s="122" t="s">
        <v>0</v>
      </c>
      <c r="G14" s="122" t="s">
        <v>27</v>
      </c>
      <c r="H14" s="122">
        <v>1</v>
      </c>
      <c r="I14" s="122" t="s">
        <v>0</v>
      </c>
      <c r="J14" s="51">
        <f>('Phan tich don gia'!G244)/10</f>
        <v>4693.29876</v>
      </c>
      <c r="K14" s="124">
        <v>1.35</v>
      </c>
      <c r="L14" s="124"/>
      <c r="M14" s="124"/>
      <c r="N14" s="51">
        <f>ROUND(J14*K14*H14,1)</f>
        <v>6336</v>
      </c>
      <c r="O14" s="51"/>
      <c r="P14" s="51"/>
      <c r="Q14" s="120">
        <v>0</v>
      </c>
      <c r="R14" s="41" t="s">
        <v>0</v>
      </c>
    </row>
    <row r="15" spans="1:18" ht="14.25">
      <c r="A15" s="49" t="s">
        <v>0</v>
      </c>
      <c r="B15" s="50" t="s">
        <v>450</v>
      </c>
      <c r="C15" s="50" t="s">
        <v>0</v>
      </c>
      <c r="D15" s="50" t="s">
        <v>0</v>
      </c>
      <c r="E15" s="50" t="s">
        <v>0</v>
      </c>
      <c r="F15" s="122" t="s">
        <v>0</v>
      </c>
      <c r="G15" s="122" t="s">
        <v>27</v>
      </c>
      <c r="H15" s="122">
        <v>9</v>
      </c>
      <c r="I15" s="122" t="s">
        <v>0</v>
      </c>
      <c r="J15" s="51">
        <f>('Phan tich don gia'!G249)/10</f>
        <v>3302.6917200000003</v>
      </c>
      <c r="K15" s="124">
        <v>1.35</v>
      </c>
      <c r="L15" s="124"/>
      <c r="M15" s="124"/>
      <c r="N15" s="51">
        <f>ROUND(J15*K15*H15,1)</f>
        <v>40127.7</v>
      </c>
      <c r="O15" s="51"/>
      <c r="P15" s="51"/>
      <c r="Q15" s="120">
        <v>0</v>
      </c>
      <c r="R15" s="41" t="s">
        <v>0</v>
      </c>
    </row>
    <row r="16" spans="1:18" ht="14.25">
      <c r="A16" s="49" t="s">
        <v>0</v>
      </c>
      <c r="B16" s="50" t="s">
        <v>449</v>
      </c>
      <c r="C16" s="50" t="s">
        <v>0</v>
      </c>
      <c r="D16" s="50" t="s">
        <v>0</v>
      </c>
      <c r="E16" s="50" t="s">
        <v>409</v>
      </c>
      <c r="F16" s="122" t="s">
        <v>0</v>
      </c>
      <c r="G16" s="122" t="s">
        <v>27</v>
      </c>
      <c r="H16" s="122">
        <v>4</v>
      </c>
      <c r="I16" s="122" t="s">
        <v>0</v>
      </c>
      <c r="J16" s="51">
        <f>('Phan tich don gia'!G254)/10</f>
        <v>2433.56232</v>
      </c>
      <c r="K16" s="124">
        <v>1.35</v>
      </c>
      <c r="L16" s="124"/>
      <c r="M16" s="124"/>
      <c r="N16" s="51">
        <f>ROUND(J16*K16*H16,1)</f>
        <v>13141.2</v>
      </c>
      <c r="O16" s="51"/>
      <c r="P16" s="51"/>
      <c r="Q16" s="120">
        <v>0</v>
      </c>
      <c r="R16" s="41" t="s">
        <v>0</v>
      </c>
    </row>
    <row r="17" spans="1:18" ht="14.25">
      <c r="A17" s="49" t="s">
        <v>354</v>
      </c>
      <c r="B17" s="50" t="s">
        <v>448</v>
      </c>
      <c r="C17" s="50" t="s">
        <v>73</v>
      </c>
      <c r="D17" s="50" t="s">
        <v>0</v>
      </c>
      <c r="E17" s="50" t="s">
        <v>0</v>
      </c>
      <c r="F17" s="122" t="s">
        <v>0</v>
      </c>
      <c r="G17" s="122" t="s">
        <v>0</v>
      </c>
      <c r="H17" s="122"/>
      <c r="I17" s="122" t="s">
        <v>402</v>
      </c>
      <c r="J17" s="51"/>
      <c r="K17" s="124"/>
      <c r="L17" s="124"/>
      <c r="M17" s="124"/>
      <c r="N17" s="118"/>
      <c r="O17" s="118"/>
      <c r="P17" s="118">
        <v>698289</v>
      </c>
      <c r="Q17" s="119">
        <f aca="true" t="shared" si="1" ref="Q17:Q42">N17+O17+P17</f>
        <v>698289</v>
      </c>
      <c r="R17" s="41" t="s">
        <v>0</v>
      </c>
    </row>
    <row r="18" spans="1:18" ht="14.25">
      <c r="A18" s="49" t="s">
        <v>352</v>
      </c>
      <c r="B18" s="50" t="s">
        <v>447</v>
      </c>
      <c r="C18" s="50" t="s">
        <v>73</v>
      </c>
      <c r="D18" s="50" t="s">
        <v>0</v>
      </c>
      <c r="E18" s="50" t="s">
        <v>0</v>
      </c>
      <c r="F18" s="122" t="s">
        <v>0</v>
      </c>
      <c r="G18" s="122" t="s">
        <v>0</v>
      </c>
      <c r="H18" s="122"/>
      <c r="I18" s="122" t="s">
        <v>402</v>
      </c>
      <c r="J18" s="51"/>
      <c r="K18" s="124"/>
      <c r="L18" s="124"/>
      <c r="M18" s="124"/>
      <c r="N18" s="118"/>
      <c r="O18" s="118"/>
      <c r="P18" s="118">
        <v>780367</v>
      </c>
      <c r="Q18" s="119">
        <f t="shared" si="1"/>
        <v>780367</v>
      </c>
      <c r="R18" s="41" t="s">
        <v>0</v>
      </c>
    </row>
    <row r="19" spans="1:18" ht="14.25">
      <c r="A19" s="49" t="s">
        <v>350</v>
      </c>
      <c r="B19" s="50" t="s">
        <v>446</v>
      </c>
      <c r="C19" s="50" t="s">
        <v>73</v>
      </c>
      <c r="D19" s="50" t="s">
        <v>0</v>
      </c>
      <c r="E19" s="50" t="s">
        <v>0</v>
      </c>
      <c r="F19" s="122" t="s">
        <v>0</v>
      </c>
      <c r="G19" s="122" t="s">
        <v>0</v>
      </c>
      <c r="H19" s="122"/>
      <c r="I19" s="122" t="s">
        <v>402</v>
      </c>
      <c r="J19" s="51"/>
      <c r="K19" s="124"/>
      <c r="L19" s="124"/>
      <c r="M19" s="124"/>
      <c r="N19" s="118"/>
      <c r="O19" s="118"/>
      <c r="P19" s="118">
        <v>874566</v>
      </c>
      <c r="Q19" s="119">
        <f t="shared" si="1"/>
        <v>874566</v>
      </c>
      <c r="R19" s="41" t="s">
        <v>0</v>
      </c>
    </row>
    <row r="20" spans="1:18" ht="14.25">
      <c r="A20" s="49" t="s">
        <v>349</v>
      </c>
      <c r="B20" s="50" t="s">
        <v>445</v>
      </c>
      <c r="C20" s="50" t="s">
        <v>58</v>
      </c>
      <c r="D20" s="50" t="s">
        <v>0</v>
      </c>
      <c r="E20" s="50" t="s">
        <v>0</v>
      </c>
      <c r="F20" s="122" t="s">
        <v>0</v>
      </c>
      <c r="G20" s="122" t="s">
        <v>0</v>
      </c>
      <c r="H20" s="122"/>
      <c r="I20" s="122" t="s">
        <v>402</v>
      </c>
      <c r="J20" s="51"/>
      <c r="K20" s="124"/>
      <c r="L20" s="124"/>
      <c r="M20" s="124"/>
      <c r="N20" s="118"/>
      <c r="O20" s="118"/>
      <c r="P20" s="118">
        <v>4416000</v>
      </c>
      <c r="Q20" s="119">
        <f t="shared" si="1"/>
        <v>4416000</v>
      </c>
      <c r="R20" s="41" t="s">
        <v>0</v>
      </c>
    </row>
    <row r="21" spans="1:18" ht="14.25">
      <c r="A21" s="49" t="s">
        <v>347</v>
      </c>
      <c r="B21" s="50" t="s">
        <v>444</v>
      </c>
      <c r="C21" s="50" t="s">
        <v>58</v>
      </c>
      <c r="D21" s="50" t="s">
        <v>0</v>
      </c>
      <c r="E21" s="50" t="s">
        <v>0</v>
      </c>
      <c r="F21" s="122" t="s">
        <v>0</v>
      </c>
      <c r="G21" s="122" t="s">
        <v>0</v>
      </c>
      <c r="H21" s="122"/>
      <c r="I21" s="122" t="s">
        <v>402</v>
      </c>
      <c r="J21" s="51"/>
      <c r="K21" s="124"/>
      <c r="L21" s="124"/>
      <c r="M21" s="124"/>
      <c r="N21" s="118"/>
      <c r="O21" s="118"/>
      <c r="P21" s="118">
        <v>2784000</v>
      </c>
      <c r="Q21" s="119">
        <f t="shared" si="1"/>
        <v>2784000</v>
      </c>
      <c r="R21" s="41" t="s">
        <v>0</v>
      </c>
    </row>
    <row r="22" spans="1:18" ht="14.25">
      <c r="A22" s="49" t="s">
        <v>345</v>
      </c>
      <c r="B22" s="50" t="s">
        <v>443</v>
      </c>
      <c r="C22" s="50" t="s">
        <v>58</v>
      </c>
      <c r="D22" s="50" t="s">
        <v>0</v>
      </c>
      <c r="E22" s="50" t="s">
        <v>0</v>
      </c>
      <c r="F22" s="122" t="s">
        <v>0</v>
      </c>
      <c r="G22" s="122" t="s">
        <v>0</v>
      </c>
      <c r="H22" s="122"/>
      <c r="I22" s="122" t="s">
        <v>402</v>
      </c>
      <c r="J22" s="51"/>
      <c r="K22" s="124"/>
      <c r="L22" s="124"/>
      <c r="M22" s="124"/>
      <c r="N22" s="118"/>
      <c r="O22" s="118"/>
      <c r="P22" s="118">
        <v>3420000</v>
      </c>
      <c r="Q22" s="119">
        <f t="shared" si="1"/>
        <v>3420000</v>
      </c>
      <c r="R22" s="41" t="s">
        <v>0</v>
      </c>
    </row>
    <row r="23" spans="1:18" ht="14.25">
      <c r="A23" s="49" t="s">
        <v>344</v>
      </c>
      <c r="B23" s="50" t="s">
        <v>442</v>
      </c>
      <c r="C23" s="50" t="s">
        <v>139</v>
      </c>
      <c r="D23" s="50" t="s">
        <v>0</v>
      </c>
      <c r="E23" s="50" t="s">
        <v>0</v>
      </c>
      <c r="F23" s="122" t="s">
        <v>0</v>
      </c>
      <c r="G23" s="122" t="s">
        <v>0</v>
      </c>
      <c r="H23" s="122"/>
      <c r="I23" s="122" t="s">
        <v>402</v>
      </c>
      <c r="J23" s="51"/>
      <c r="K23" s="124"/>
      <c r="L23" s="124"/>
      <c r="M23" s="124"/>
      <c r="N23" s="118"/>
      <c r="O23" s="118"/>
      <c r="P23" s="118">
        <v>400</v>
      </c>
      <c r="Q23" s="119">
        <f t="shared" si="1"/>
        <v>400</v>
      </c>
      <c r="R23" s="41" t="s">
        <v>0</v>
      </c>
    </row>
    <row r="24" spans="1:18" ht="14.25">
      <c r="A24" s="49" t="s">
        <v>342</v>
      </c>
      <c r="B24" s="50" t="s">
        <v>441</v>
      </c>
      <c r="C24" s="50" t="s">
        <v>103</v>
      </c>
      <c r="D24" s="50" t="s">
        <v>0</v>
      </c>
      <c r="E24" s="50" t="s">
        <v>0</v>
      </c>
      <c r="F24" s="122" t="s">
        <v>0</v>
      </c>
      <c r="G24" s="122" t="s">
        <v>0</v>
      </c>
      <c r="H24" s="122"/>
      <c r="I24" s="122" t="s">
        <v>402</v>
      </c>
      <c r="J24" s="51"/>
      <c r="K24" s="124"/>
      <c r="L24" s="124"/>
      <c r="M24" s="124"/>
      <c r="N24" s="118"/>
      <c r="O24" s="118"/>
      <c r="P24" s="118">
        <v>43185</v>
      </c>
      <c r="Q24" s="119">
        <f t="shared" si="1"/>
        <v>43185</v>
      </c>
      <c r="R24" s="41" t="s">
        <v>0</v>
      </c>
    </row>
    <row r="25" spans="1:18" ht="14.25">
      <c r="A25" s="49" t="s">
        <v>340</v>
      </c>
      <c r="B25" s="50" t="s">
        <v>440</v>
      </c>
      <c r="C25" s="50" t="s">
        <v>103</v>
      </c>
      <c r="D25" s="50" t="s">
        <v>0</v>
      </c>
      <c r="E25" s="50" t="s">
        <v>0</v>
      </c>
      <c r="F25" s="122" t="s">
        <v>0</v>
      </c>
      <c r="G25" s="122" t="s">
        <v>0</v>
      </c>
      <c r="H25" s="122"/>
      <c r="I25" s="122" t="s">
        <v>402</v>
      </c>
      <c r="J25" s="51"/>
      <c r="K25" s="124"/>
      <c r="L25" s="124"/>
      <c r="M25" s="124"/>
      <c r="N25" s="118"/>
      <c r="O25" s="118"/>
      <c r="P25" s="118">
        <v>30871</v>
      </c>
      <c r="Q25" s="119">
        <f t="shared" si="1"/>
        <v>30871</v>
      </c>
      <c r="R25" s="41" t="s">
        <v>0</v>
      </c>
    </row>
    <row r="26" spans="1:18" ht="14.25">
      <c r="A26" s="49" t="s">
        <v>339</v>
      </c>
      <c r="B26" s="50" t="s">
        <v>439</v>
      </c>
      <c r="C26" s="50" t="s">
        <v>103</v>
      </c>
      <c r="D26" s="50" t="s">
        <v>0</v>
      </c>
      <c r="E26" s="50" t="s">
        <v>0</v>
      </c>
      <c r="F26" s="122" t="s">
        <v>0</v>
      </c>
      <c r="G26" s="122" t="s">
        <v>0</v>
      </c>
      <c r="H26" s="122"/>
      <c r="I26" s="122" t="s">
        <v>402</v>
      </c>
      <c r="J26" s="51"/>
      <c r="K26" s="124"/>
      <c r="L26" s="124"/>
      <c r="M26" s="124"/>
      <c r="N26" s="118"/>
      <c r="O26" s="118"/>
      <c r="P26" s="118">
        <v>113125</v>
      </c>
      <c r="Q26" s="119">
        <f t="shared" si="1"/>
        <v>113125</v>
      </c>
      <c r="R26" s="41" t="s">
        <v>0</v>
      </c>
    </row>
    <row r="27" spans="1:18" ht="14.25">
      <c r="A27" s="49" t="s">
        <v>338</v>
      </c>
      <c r="B27" s="50" t="s">
        <v>438</v>
      </c>
      <c r="C27" s="50" t="s">
        <v>73</v>
      </c>
      <c r="D27" s="50" t="s">
        <v>0</v>
      </c>
      <c r="E27" s="50" t="s">
        <v>0</v>
      </c>
      <c r="F27" s="122" t="s">
        <v>0</v>
      </c>
      <c r="G27" s="122" t="s">
        <v>0</v>
      </c>
      <c r="H27" s="122"/>
      <c r="I27" s="122" t="s">
        <v>402</v>
      </c>
      <c r="J27" s="51"/>
      <c r="K27" s="124"/>
      <c r="L27" s="124"/>
      <c r="M27" s="124"/>
      <c r="N27" s="118"/>
      <c r="O27" s="118"/>
      <c r="P27" s="118">
        <v>147491</v>
      </c>
      <c r="Q27" s="119">
        <f t="shared" si="1"/>
        <v>147491</v>
      </c>
      <c r="R27" s="41" t="s">
        <v>0</v>
      </c>
    </row>
    <row r="28" spans="1:18" ht="14.25">
      <c r="A28" s="49" t="s">
        <v>336</v>
      </c>
      <c r="B28" s="50" t="s">
        <v>437</v>
      </c>
      <c r="C28" s="50" t="s">
        <v>21</v>
      </c>
      <c r="D28" s="50" t="s">
        <v>0</v>
      </c>
      <c r="E28" s="50" t="s">
        <v>0</v>
      </c>
      <c r="F28" s="122" t="s">
        <v>0</v>
      </c>
      <c r="G28" s="122" t="s">
        <v>0</v>
      </c>
      <c r="H28" s="122"/>
      <c r="I28" s="122" t="s">
        <v>402</v>
      </c>
      <c r="J28" s="51"/>
      <c r="K28" s="124"/>
      <c r="L28" s="124"/>
      <c r="M28" s="124"/>
      <c r="N28" s="118"/>
      <c r="O28" s="118"/>
      <c r="P28" s="118">
        <v>4090909.09</v>
      </c>
      <c r="Q28" s="119">
        <f t="shared" si="1"/>
        <v>4090909.09</v>
      </c>
      <c r="R28" s="41" t="s">
        <v>0</v>
      </c>
    </row>
    <row r="29" spans="1:18" ht="14.25">
      <c r="A29" s="49" t="s">
        <v>334</v>
      </c>
      <c r="B29" s="50" t="s">
        <v>436</v>
      </c>
      <c r="C29" s="50" t="s">
        <v>21</v>
      </c>
      <c r="D29" s="50" t="s">
        <v>0</v>
      </c>
      <c r="E29" s="50" t="s">
        <v>0</v>
      </c>
      <c r="F29" s="122" t="s">
        <v>0</v>
      </c>
      <c r="G29" s="122" t="s">
        <v>0</v>
      </c>
      <c r="H29" s="122"/>
      <c r="I29" s="122" t="s">
        <v>402</v>
      </c>
      <c r="J29" s="51"/>
      <c r="K29" s="124"/>
      <c r="L29" s="124"/>
      <c r="M29" s="124"/>
      <c r="N29" s="118"/>
      <c r="O29" s="118"/>
      <c r="P29" s="118">
        <v>4090909.09</v>
      </c>
      <c r="Q29" s="119">
        <f t="shared" si="1"/>
        <v>4090909.09</v>
      </c>
      <c r="R29" s="41" t="s">
        <v>0</v>
      </c>
    </row>
    <row r="30" spans="1:18" ht="14.25">
      <c r="A30" s="49" t="s">
        <v>332</v>
      </c>
      <c r="B30" s="50" t="s">
        <v>435</v>
      </c>
      <c r="C30" s="50" t="s">
        <v>21</v>
      </c>
      <c r="D30" s="50" t="s">
        <v>0</v>
      </c>
      <c r="E30" s="50" t="s">
        <v>0</v>
      </c>
      <c r="F30" s="122" t="s">
        <v>0</v>
      </c>
      <c r="G30" s="122" t="s">
        <v>0</v>
      </c>
      <c r="H30" s="122"/>
      <c r="I30" s="122" t="s">
        <v>402</v>
      </c>
      <c r="J30" s="51"/>
      <c r="K30" s="124"/>
      <c r="L30" s="124"/>
      <c r="M30" s="124"/>
      <c r="N30" s="118"/>
      <c r="O30" s="118"/>
      <c r="P30" s="118">
        <v>4090909.09</v>
      </c>
      <c r="Q30" s="119">
        <f t="shared" si="1"/>
        <v>4090909.09</v>
      </c>
      <c r="R30" s="41" t="s">
        <v>0</v>
      </c>
    </row>
    <row r="31" spans="1:18" ht="14.25">
      <c r="A31" s="49" t="s">
        <v>331</v>
      </c>
      <c r="B31" s="50" t="s">
        <v>434</v>
      </c>
      <c r="C31" s="50" t="s">
        <v>119</v>
      </c>
      <c r="D31" s="50" t="s">
        <v>0</v>
      </c>
      <c r="E31" s="50" t="s">
        <v>0</v>
      </c>
      <c r="F31" s="122" t="s">
        <v>0</v>
      </c>
      <c r="G31" s="122" t="s">
        <v>0</v>
      </c>
      <c r="H31" s="122"/>
      <c r="I31" s="122" t="s">
        <v>402</v>
      </c>
      <c r="J31" s="51"/>
      <c r="K31" s="124"/>
      <c r="L31" s="124"/>
      <c r="M31" s="124"/>
      <c r="N31" s="118"/>
      <c r="O31" s="118"/>
      <c r="P31" s="118">
        <v>2200</v>
      </c>
      <c r="Q31" s="119">
        <f t="shared" si="1"/>
        <v>2200</v>
      </c>
      <c r="R31" s="41" t="s">
        <v>0</v>
      </c>
    </row>
    <row r="32" spans="1:18" ht="14.25">
      <c r="A32" s="49" t="s">
        <v>330</v>
      </c>
      <c r="B32" s="50" t="s">
        <v>433</v>
      </c>
      <c r="C32" s="50" t="s">
        <v>121</v>
      </c>
      <c r="D32" s="50" t="s">
        <v>0</v>
      </c>
      <c r="E32" s="50" t="s">
        <v>0</v>
      </c>
      <c r="F32" s="122" t="s">
        <v>0</v>
      </c>
      <c r="G32" s="122" t="s">
        <v>0</v>
      </c>
      <c r="H32" s="122"/>
      <c r="I32" s="122" t="s">
        <v>402</v>
      </c>
      <c r="J32" s="51"/>
      <c r="K32" s="124"/>
      <c r="L32" s="124"/>
      <c r="M32" s="124"/>
      <c r="N32" s="118"/>
      <c r="O32" s="118"/>
      <c r="P32" s="118">
        <v>45570</v>
      </c>
      <c r="Q32" s="119">
        <f t="shared" si="1"/>
        <v>45570</v>
      </c>
      <c r="R32" s="41" t="s">
        <v>0</v>
      </c>
    </row>
    <row r="33" spans="1:18" ht="14.25">
      <c r="A33" s="49" t="s">
        <v>328</v>
      </c>
      <c r="B33" s="50" t="s">
        <v>432</v>
      </c>
      <c r="C33" s="50" t="s">
        <v>121</v>
      </c>
      <c r="D33" s="50" t="s">
        <v>0</v>
      </c>
      <c r="E33" s="50" t="s">
        <v>0</v>
      </c>
      <c r="F33" s="122" t="s">
        <v>0</v>
      </c>
      <c r="G33" s="122" t="s">
        <v>0</v>
      </c>
      <c r="H33" s="122"/>
      <c r="I33" s="122" t="s">
        <v>402</v>
      </c>
      <c r="J33" s="51"/>
      <c r="K33" s="124"/>
      <c r="L33" s="124"/>
      <c r="M33" s="124"/>
      <c r="N33" s="118"/>
      <c r="O33" s="118"/>
      <c r="P33" s="118">
        <v>54300</v>
      </c>
      <c r="Q33" s="119">
        <f t="shared" si="1"/>
        <v>54300</v>
      </c>
      <c r="R33" s="41" t="s">
        <v>0</v>
      </c>
    </row>
    <row r="34" spans="1:18" ht="14.25">
      <c r="A34" s="49" t="s">
        <v>327</v>
      </c>
      <c r="B34" s="50" t="s">
        <v>431</v>
      </c>
      <c r="C34" s="50" t="s">
        <v>121</v>
      </c>
      <c r="D34" s="50" t="s">
        <v>0</v>
      </c>
      <c r="E34" s="50" t="s">
        <v>0</v>
      </c>
      <c r="F34" s="122" t="s">
        <v>0</v>
      </c>
      <c r="G34" s="122" t="s">
        <v>0</v>
      </c>
      <c r="H34" s="122"/>
      <c r="I34" s="122" t="s">
        <v>402</v>
      </c>
      <c r="J34" s="51"/>
      <c r="K34" s="124"/>
      <c r="L34" s="124"/>
      <c r="M34" s="124"/>
      <c r="N34" s="118"/>
      <c r="O34" s="118"/>
      <c r="P34" s="118">
        <v>54300</v>
      </c>
      <c r="Q34" s="119">
        <f t="shared" si="1"/>
        <v>54300</v>
      </c>
      <c r="R34" s="41" t="s">
        <v>0</v>
      </c>
    </row>
    <row r="35" spans="1:18" ht="14.25">
      <c r="A35" s="49" t="s">
        <v>325</v>
      </c>
      <c r="B35" s="50" t="s">
        <v>430</v>
      </c>
      <c r="C35" s="50" t="s">
        <v>121</v>
      </c>
      <c r="D35" s="50" t="s">
        <v>0</v>
      </c>
      <c r="E35" s="50" t="s">
        <v>0</v>
      </c>
      <c r="F35" s="122" t="s">
        <v>0</v>
      </c>
      <c r="G35" s="122" t="s">
        <v>0</v>
      </c>
      <c r="H35" s="122"/>
      <c r="I35" s="122" t="s">
        <v>402</v>
      </c>
      <c r="J35" s="51"/>
      <c r="K35" s="124"/>
      <c r="L35" s="124"/>
      <c r="M35" s="124"/>
      <c r="N35" s="118"/>
      <c r="O35" s="118"/>
      <c r="P35" s="118">
        <v>21400</v>
      </c>
      <c r="Q35" s="119">
        <f t="shared" si="1"/>
        <v>21400</v>
      </c>
      <c r="R35" s="41" t="s">
        <v>0</v>
      </c>
    </row>
    <row r="36" spans="1:18" ht="14.25">
      <c r="A36" s="49" t="s">
        <v>323</v>
      </c>
      <c r="B36" s="50" t="s">
        <v>429</v>
      </c>
      <c r="C36" s="50" t="s">
        <v>21</v>
      </c>
      <c r="D36" s="50" t="s">
        <v>0</v>
      </c>
      <c r="E36" s="50" t="s">
        <v>0</v>
      </c>
      <c r="F36" s="122" t="s">
        <v>14</v>
      </c>
      <c r="G36" s="122" t="s">
        <v>0</v>
      </c>
      <c r="H36" s="122"/>
      <c r="I36" s="122" t="s">
        <v>402</v>
      </c>
      <c r="J36" s="51"/>
      <c r="K36" s="124"/>
      <c r="L36" s="124"/>
      <c r="M36" s="124"/>
      <c r="N36" s="118"/>
      <c r="O36" s="118"/>
      <c r="P36" s="118">
        <v>9545.45</v>
      </c>
      <c r="Q36" s="119">
        <f t="shared" si="1"/>
        <v>9545.45</v>
      </c>
      <c r="R36" s="41" t="s">
        <v>0</v>
      </c>
    </row>
    <row r="37" spans="1:18" ht="14.25">
      <c r="A37" s="49" t="s">
        <v>322</v>
      </c>
      <c r="B37" s="50" t="s">
        <v>428</v>
      </c>
      <c r="C37" s="50" t="s">
        <v>121</v>
      </c>
      <c r="D37" s="50" t="s">
        <v>0</v>
      </c>
      <c r="E37" s="50" t="s">
        <v>0</v>
      </c>
      <c r="F37" s="122" t="s">
        <v>0</v>
      </c>
      <c r="G37" s="122" t="s">
        <v>0</v>
      </c>
      <c r="H37" s="122"/>
      <c r="I37" s="122" t="s">
        <v>402</v>
      </c>
      <c r="J37" s="51"/>
      <c r="K37" s="124"/>
      <c r="L37" s="124"/>
      <c r="M37" s="124"/>
      <c r="N37" s="118"/>
      <c r="O37" s="118"/>
      <c r="P37" s="118">
        <v>2400</v>
      </c>
      <c r="Q37" s="119">
        <f t="shared" si="1"/>
        <v>2400</v>
      </c>
      <c r="R37" s="41" t="s">
        <v>0</v>
      </c>
    </row>
    <row r="38" spans="1:18" ht="14.25">
      <c r="A38" s="49" t="s">
        <v>320</v>
      </c>
      <c r="B38" s="50" t="s">
        <v>427</v>
      </c>
      <c r="C38" s="50" t="s">
        <v>121</v>
      </c>
      <c r="D38" s="50" t="s">
        <v>0</v>
      </c>
      <c r="E38" s="50" t="s">
        <v>0</v>
      </c>
      <c r="F38" s="122" t="s">
        <v>0</v>
      </c>
      <c r="G38" s="122" t="s">
        <v>0</v>
      </c>
      <c r="H38" s="122"/>
      <c r="I38" s="122" t="s">
        <v>402</v>
      </c>
      <c r="J38" s="51"/>
      <c r="K38" s="124"/>
      <c r="L38" s="124"/>
      <c r="M38" s="124"/>
      <c r="N38" s="118"/>
      <c r="O38" s="118"/>
      <c r="P38" s="118">
        <v>2400</v>
      </c>
      <c r="Q38" s="119">
        <f t="shared" si="1"/>
        <v>2400</v>
      </c>
      <c r="R38" s="41" t="s">
        <v>0</v>
      </c>
    </row>
    <row r="39" spans="1:18" ht="14.25">
      <c r="A39" s="49" t="s">
        <v>318</v>
      </c>
      <c r="B39" s="50" t="s">
        <v>426</v>
      </c>
      <c r="C39" s="50" t="s">
        <v>75</v>
      </c>
      <c r="D39" s="50" t="s">
        <v>0</v>
      </c>
      <c r="E39" s="50" t="s">
        <v>0</v>
      </c>
      <c r="F39" s="122" t="s">
        <v>0</v>
      </c>
      <c r="G39" s="122" t="s">
        <v>0</v>
      </c>
      <c r="H39" s="122"/>
      <c r="I39" s="122" t="s">
        <v>402</v>
      </c>
      <c r="J39" s="51"/>
      <c r="K39" s="124"/>
      <c r="L39" s="124"/>
      <c r="M39" s="124"/>
      <c r="N39" s="118"/>
      <c r="O39" s="118"/>
      <c r="P39" s="118">
        <v>757452</v>
      </c>
      <c r="Q39" s="119">
        <f t="shared" si="1"/>
        <v>757452</v>
      </c>
      <c r="R39" s="41" t="s">
        <v>0</v>
      </c>
    </row>
    <row r="40" spans="1:18" ht="14.25">
      <c r="A40" s="49" t="s">
        <v>316</v>
      </c>
      <c r="B40" s="50" t="s">
        <v>425</v>
      </c>
      <c r="C40" s="50" t="s">
        <v>212</v>
      </c>
      <c r="D40" s="50" t="s">
        <v>0</v>
      </c>
      <c r="E40" s="50" t="s">
        <v>0</v>
      </c>
      <c r="F40" s="122" t="s">
        <v>0</v>
      </c>
      <c r="G40" s="122" t="s">
        <v>0</v>
      </c>
      <c r="H40" s="122"/>
      <c r="I40" s="122" t="s">
        <v>402</v>
      </c>
      <c r="J40" s="51"/>
      <c r="K40" s="124"/>
      <c r="L40" s="124"/>
      <c r="M40" s="124"/>
      <c r="N40" s="118"/>
      <c r="O40" s="118"/>
      <c r="P40" s="118">
        <v>41664</v>
      </c>
      <c r="Q40" s="119">
        <f t="shared" si="1"/>
        <v>41664</v>
      </c>
      <c r="R40" s="41" t="s">
        <v>0</v>
      </c>
    </row>
    <row r="41" spans="1:18" ht="14.25">
      <c r="A41" s="49" t="s">
        <v>314</v>
      </c>
      <c r="B41" s="50" t="s">
        <v>424</v>
      </c>
      <c r="C41" s="50" t="s">
        <v>73</v>
      </c>
      <c r="D41" s="50" t="s">
        <v>0</v>
      </c>
      <c r="E41" s="50" t="s">
        <v>0</v>
      </c>
      <c r="F41" s="122" t="s">
        <v>0</v>
      </c>
      <c r="G41" s="122" t="s">
        <v>0</v>
      </c>
      <c r="H41" s="122"/>
      <c r="I41" s="122" t="s">
        <v>402</v>
      </c>
      <c r="J41" s="51"/>
      <c r="K41" s="124"/>
      <c r="L41" s="124"/>
      <c r="M41" s="124"/>
      <c r="N41" s="118"/>
      <c r="O41" s="118"/>
      <c r="P41" s="118">
        <v>17029950</v>
      </c>
      <c r="Q41" s="119">
        <f t="shared" si="1"/>
        <v>17029950</v>
      </c>
      <c r="R41" s="41" t="s">
        <v>0</v>
      </c>
    </row>
    <row r="42" spans="1:18" ht="14.25">
      <c r="A42" s="49" t="s">
        <v>313</v>
      </c>
      <c r="B42" s="50" t="s">
        <v>423</v>
      </c>
      <c r="C42" s="50" t="s">
        <v>212</v>
      </c>
      <c r="D42" s="50" t="s">
        <v>0</v>
      </c>
      <c r="E42" s="50" t="s">
        <v>0</v>
      </c>
      <c r="F42" s="122" t="s">
        <v>0</v>
      </c>
      <c r="G42" s="122" t="s">
        <v>0</v>
      </c>
      <c r="H42" s="122"/>
      <c r="I42" s="122" t="s">
        <v>402</v>
      </c>
      <c r="J42" s="51"/>
      <c r="K42" s="124"/>
      <c r="L42" s="124"/>
      <c r="M42" s="124"/>
      <c r="N42" s="118">
        <f>SUM(N43:N43)</f>
        <v>24041.5</v>
      </c>
      <c r="O42" s="118"/>
      <c r="P42" s="118">
        <v>1613636</v>
      </c>
      <c r="Q42" s="119">
        <f t="shared" si="1"/>
        <v>1637677.5</v>
      </c>
      <c r="R42" s="41" t="s">
        <v>0</v>
      </c>
    </row>
    <row r="43" spans="1:18" ht="14.25">
      <c r="A43" s="49" t="s">
        <v>0</v>
      </c>
      <c r="B43" s="50" t="s">
        <v>421</v>
      </c>
      <c r="C43" s="50" t="s">
        <v>0</v>
      </c>
      <c r="D43" s="50" t="s">
        <v>0</v>
      </c>
      <c r="E43" s="50" t="s">
        <v>0</v>
      </c>
      <c r="F43" s="122" t="s">
        <v>0</v>
      </c>
      <c r="G43" s="122" t="s">
        <v>0</v>
      </c>
      <c r="H43" s="122"/>
      <c r="I43" s="122" t="s">
        <v>0</v>
      </c>
      <c r="J43" s="51">
        <f>('Phan tich don gia'!G304)</f>
        <v>24041.512</v>
      </c>
      <c r="K43" s="124"/>
      <c r="L43" s="124"/>
      <c r="M43" s="124"/>
      <c r="N43" s="51">
        <f>ROUND(J43,1)</f>
        <v>24041.5</v>
      </c>
      <c r="O43" s="51"/>
      <c r="P43" s="51"/>
      <c r="Q43" s="120">
        <v>0</v>
      </c>
      <c r="R43" s="41" t="s">
        <v>0</v>
      </c>
    </row>
    <row r="44" spans="1:18" ht="14.25">
      <c r="A44" s="49" t="s">
        <v>312</v>
      </c>
      <c r="B44" s="50" t="s">
        <v>422</v>
      </c>
      <c r="C44" s="50" t="s">
        <v>212</v>
      </c>
      <c r="D44" s="50" t="s">
        <v>0</v>
      </c>
      <c r="E44" s="50" t="s">
        <v>0</v>
      </c>
      <c r="F44" s="122" t="s">
        <v>0</v>
      </c>
      <c r="G44" s="122" t="s">
        <v>0</v>
      </c>
      <c r="H44" s="122"/>
      <c r="I44" s="122" t="s">
        <v>402</v>
      </c>
      <c r="J44" s="51"/>
      <c r="K44" s="124"/>
      <c r="L44" s="124"/>
      <c r="M44" s="124"/>
      <c r="N44" s="118">
        <f>SUM(N45:N45)</f>
        <v>24041.5</v>
      </c>
      <c r="O44" s="118"/>
      <c r="P44" s="118">
        <v>1677273</v>
      </c>
      <c r="Q44" s="119">
        <f>N44+O44+P44</f>
        <v>1701314.5</v>
      </c>
      <c r="R44" s="41" t="s">
        <v>0</v>
      </c>
    </row>
    <row r="45" spans="1:18" ht="14.25">
      <c r="A45" s="49" t="s">
        <v>0</v>
      </c>
      <c r="B45" s="50" t="s">
        <v>421</v>
      </c>
      <c r="C45" s="50" t="s">
        <v>0</v>
      </c>
      <c r="D45" s="50" t="s">
        <v>0</v>
      </c>
      <c r="E45" s="50" t="s">
        <v>0</v>
      </c>
      <c r="F45" s="122" t="s">
        <v>0</v>
      </c>
      <c r="G45" s="122" t="s">
        <v>0</v>
      </c>
      <c r="H45" s="122"/>
      <c r="I45" s="122" t="s">
        <v>0</v>
      </c>
      <c r="J45" s="51">
        <f>('Phan tich don gia'!G304)</f>
        <v>24041.512</v>
      </c>
      <c r="K45" s="124"/>
      <c r="L45" s="124"/>
      <c r="M45" s="124"/>
      <c r="N45" s="51">
        <f>ROUND(J45,1)</f>
        <v>24041.5</v>
      </c>
      <c r="O45" s="51"/>
      <c r="P45" s="51"/>
      <c r="Q45" s="120">
        <v>0</v>
      </c>
      <c r="R45" s="41" t="s">
        <v>0</v>
      </c>
    </row>
    <row r="46" spans="1:18" ht="14.25">
      <c r="A46" s="49" t="s">
        <v>311</v>
      </c>
      <c r="B46" s="50" t="s">
        <v>420</v>
      </c>
      <c r="C46" s="50" t="s">
        <v>73</v>
      </c>
      <c r="D46" s="50" t="s">
        <v>0</v>
      </c>
      <c r="E46" s="50" t="s">
        <v>0</v>
      </c>
      <c r="F46" s="122" t="s">
        <v>0</v>
      </c>
      <c r="G46" s="122" t="s">
        <v>0</v>
      </c>
      <c r="H46" s="122"/>
      <c r="I46" s="122" t="s">
        <v>402</v>
      </c>
      <c r="J46" s="51"/>
      <c r="K46" s="124"/>
      <c r="L46" s="124"/>
      <c r="M46" s="124"/>
      <c r="N46" s="118"/>
      <c r="O46" s="118"/>
      <c r="P46" s="118">
        <v>1070765</v>
      </c>
      <c r="Q46" s="119">
        <f>N46+O46+P46</f>
        <v>1070765</v>
      </c>
      <c r="R46" s="41" t="s">
        <v>0</v>
      </c>
    </row>
    <row r="47" spans="1:18" ht="14.25">
      <c r="A47" s="49" t="s">
        <v>310</v>
      </c>
      <c r="B47" s="50" t="s">
        <v>419</v>
      </c>
      <c r="C47" s="50" t="s">
        <v>103</v>
      </c>
      <c r="D47" s="50" t="s">
        <v>0</v>
      </c>
      <c r="E47" s="50" t="s">
        <v>0</v>
      </c>
      <c r="F47" s="122" t="s">
        <v>0</v>
      </c>
      <c r="G47" s="122" t="s">
        <v>0</v>
      </c>
      <c r="H47" s="122"/>
      <c r="I47" s="122" t="s">
        <v>402</v>
      </c>
      <c r="J47" s="51"/>
      <c r="K47" s="124"/>
      <c r="L47" s="124"/>
      <c r="M47" s="124"/>
      <c r="N47" s="118"/>
      <c r="O47" s="118"/>
      <c r="P47" s="118">
        <v>7800</v>
      </c>
      <c r="Q47" s="119">
        <f>N47+O47+P47</f>
        <v>7800</v>
      </c>
      <c r="R47" s="41" t="s">
        <v>0</v>
      </c>
    </row>
    <row r="48" spans="1:18" ht="14.25">
      <c r="A48" s="49" t="s">
        <v>309</v>
      </c>
      <c r="B48" s="50" t="s">
        <v>418</v>
      </c>
      <c r="C48" s="50" t="s">
        <v>212</v>
      </c>
      <c r="D48" s="50" t="s">
        <v>0</v>
      </c>
      <c r="E48" s="50" t="s">
        <v>0</v>
      </c>
      <c r="F48" s="122" t="s">
        <v>0</v>
      </c>
      <c r="G48" s="122" t="s">
        <v>0</v>
      </c>
      <c r="H48" s="122"/>
      <c r="I48" s="122" t="s">
        <v>402</v>
      </c>
      <c r="J48" s="51"/>
      <c r="K48" s="124"/>
      <c r="L48" s="124"/>
      <c r="M48" s="124"/>
      <c r="N48" s="118"/>
      <c r="O48" s="118"/>
      <c r="P48" s="118">
        <v>16350000</v>
      </c>
      <c r="Q48" s="119">
        <f>N48+O48+P48</f>
        <v>16350000</v>
      </c>
      <c r="R48" s="41" t="s">
        <v>0</v>
      </c>
    </row>
    <row r="49" spans="1:18" ht="14.25">
      <c r="A49" s="49" t="s">
        <v>308</v>
      </c>
      <c r="B49" s="50" t="s">
        <v>417</v>
      </c>
      <c r="C49" s="50" t="s">
        <v>21</v>
      </c>
      <c r="D49" s="50" t="s">
        <v>0</v>
      </c>
      <c r="E49" s="50" t="s">
        <v>0</v>
      </c>
      <c r="F49" s="122" t="s">
        <v>2</v>
      </c>
      <c r="G49" s="122" t="s">
        <v>0</v>
      </c>
      <c r="H49" s="122"/>
      <c r="I49" s="122" t="s">
        <v>414</v>
      </c>
      <c r="J49" s="51"/>
      <c r="K49" s="124"/>
      <c r="L49" s="124"/>
      <c r="M49" s="124"/>
      <c r="N49" s="118">
        <f>SUM(N50:N53)</f>
        <v>96146.6</v>
      </c>
      <c r="O49" s="118"/>
      <c r="P49" s="118">
        <v>290909</v>
      </c>
      <c r="Q49" s="119">
        <f>N49+O49+P49</f>
        <v>387055.6</v>
      </c>
      <c r="R49" s="41" t="s">
        <v>0</v>
      </c>
    </row>
    <row r="50" spans="1:18" ht="14.25">
      <c r="A50" s="49" t="s">
        <v>0</v>
      </c>
      <c r="B50" s="50" t="s">
        <v>413</v>
      </c>
      <c r="C50" s="50" t="s">
        <v>0</v>
      </c>
      <c r="D50" s="50" t="s">
        <v>412</v>
      </c>
      <c r="E50" s="50" t="s">
        <v>0</v>
      </c>
      <c r="F50" s="122" t="s">
        <v>0</v>
      </c>
      <c r="G50" s="122" t="s">
        <v>11</v>
      </c>
      <c r="H50" s="122">
        <v>1</v>
      </c>
      <c r="I50" s="122" t="s">
        <v>0</v>
      </c>
      <c r="J50" s="51">
        <f>('Phan tich don gia'!G259)/10</f>
        <v>5910.07992</v>
      </c>
      <c r="K50" s="124">
        <v>0.68</v>
      </c>
      <c r="L50" s="124"/>
      <c r="M50" s="124"/>
      <c r="N50" s="51">
        <f>ROUND(J50*K50*H50,1)</f>
        <v>4018.9</v>
      </c>
      <c r="O50" s="51"/>
      <c r="P50" s="51"/>
      <c r="Q50" s="120">
        <v>0</v>
      </c>
      <c r="R50" s="41" t="s">
        <v>0</v>
      </c>
    </row>
    <row r="51" spans="1:18" ht="14.25">
      <c r="A51" s="49" t="s">
        <v>0</v>
      </c>
      <c r="B51" s="50" t="s">
        <v>411</v>
      </c>
      <c r="C51" s="50" t="s">
        <v>0</v>
      </c>
      <c r="D51" s="50" t="s">
        <v>0</v>
      </c>
      <c r="E51" s="50" t="s">
        <v>0</v>
      </c>
      <c r="F51" s="122" t="s">
        <v>0</v>
      </c>
      <c r="G51" s="122" t="s">
        <v>11</v>
      </c>
      <c r="H51" s="122">
        <v>1</v>
      </c>
      <c r="I51" s="122" t="s">
        <v>0</v>
      </c>
      <c r="J51" s="51">
        <f>('Phan tich don gia'!G264)/10</f>
        <v>4345.647</v>
      </c>
      <c r="K51" s="124">
        <v>0.68</v>
      </c>
      <c r="L51" s="124"/>
      <c r="M51" s="124"/>
      <c r="N51" s="51">
        <f>ROUND(J51*K51*H51,1)</f>
        <v>2955</v>
      </c>
      <c r="O51" s="51"/>
      <c r="P51" s="51"/>
      <c r="Q51" s="120">
        <v>0</v>
      </c>
      <c r="R51" s="41" t="s">
        <v>0</v>
      </c>
    </row>
    <row r="52" spans="1:18" ht="14.25">
      <c r="A52" s="49" t="s">
        <v>0</v>
      </c>
      <c r="B52" s="50" t="s">
        <v>411</v>
      </c>
      <c r="C52" s="50" t="s">
        <v>0</v>
      </c>
      <c r="D52" s="50" t="s">
        <v>0</v>
      </c>
      <c r="E52" s="50" t="s">
        <v>0</v>
      </c>
      <c r="F52" s="122" t="s">
        <v>0</v>
      </c>
      <c r="G52" s="122" t="s">
        <v>27</v>
      </c>
      <c r="H52" s="122">
        <v>8</v>
      </c>
      <c r="I52" s="122" t="s">
        <v>0</v>
      </c>
      <c r="J52" s="51">
        <f>('Phan tich don gia'!G264)/10</f>
        <v>4345.647</v>
      </c>
      <c r="K52" s="124">
        <v>1.35</v>
      </c>
      <c r="L52" s="124"/>
      <c r="M52" s="124"/>
      <c r="N52" s="51">
        <f>ROUND(J52*K52*H52,1)</f>
        <v>46933</v>
      </c>
      <c r="O52" s="51"/>
      <c r="P52" s="51"/>
      <c r="Q52" s="120">
        <v>0</v>
      </c>
      <c r="R52" s="41" t="s">
        <v>0</v>
      </c>
    </row>
    <row r="53" spans="1:18" ht="14.25">
      <c r="A53" s="49" t="s">
        <v>0</v>
      </c>
      <c r="B53" s="50" t="s">
        <v>410</v>
      </c>
      <c r="C53" s="50" t="s">
        <v>0</v>
      </c>
      <c r="D53" s="50" t="s">
        <v>0</v>
      </c>
      <c r="E53" s="50" t="s">
        <v>409</v>
      </c>
      <c r="F53" s="122" t="s">
        <v>0</v>
      </c>
      <c r="G53" s="122" t="s">
        <v>27</v>
      </c>
      <c r="H53" s="122">
        <v>10</v>
      </c>
      <c r="I53" s="122" t="s">
        <v>0</v>
      </c>
      <c r="J53" s="51">
        <f>('Phan tich don gia'!G269)/10</f>
        <v>3128.86584</v>
      </c>
      <c r="K53" s="124">
        <v>1.35</v>
      </c>
      <c r="L53" s="124"/>
      <c r="M53" s="124"/>
      <c r="N53" s="51">
        <f>ROUND(J53*K53*H53,1)</f>
        <v>42239.7</v>
      </c>
      <c r="O53" s="51"/>
      <c r="P53" s="51"/>
      <c r="Q53" s="120">
        <v>0</v>
      </c>
      <c r="R53" s="41" t="s">
        <v>0</v>
      </c>
    </row>
    <row r="54" spans="1:18" ht="14.25">
      <c r="A54" s="49" t="s">
        <v>307</v>
      </c>
      <c r="B54" s="50" t="s">
        <v>416</v>
      </c>
      <c r="C54" s="50" t="s">
        <v>21</v>
      </c>
      <c r="D54" s="50" t="s">
        <v>0</v>
      </c>
      <c r="E54" s="50" t="s">
        <v>0</v>
      </c>
      <c r="F54" s="122" t="s">
        <v>2</v>
      </c>
      <c r="G54" s="122" t="s">
        <v>0</v>
      </c>
      <c r="H54" s="122"/>
      <c r="I54" s="122" t="s">
        <v>414</v>
      </c>
      <c r="J54" s="51"/>
      <c r="K54" s="124"/>
      <c r="L54" s="124"/>
      <c r="M54" s="124"/>
      <c r="N54" s="118">
        <f>SUM(N55:N58)</f>
        <v>96146.6</v>
      </c>
      <c r="O54" s="118"/>
      <c r="P54" s="118">
        <v>281818</v>
      </c>
      <c r="Q54" s="119">
        <f>N54+O54+P54</f>
        <v>377964.6</v>
      </c>
      <c r="R54" s="41" t="s">
        <v>0</v>
      </c>
    </row>
    <row r="55" spans="1:18" ht="14.25">
      <c r="A55" s="49" t="s">
        <v>0</v>
      </c>
      <c r="B55" s="50" t="s">
        <v>413</v>
      </c>
      <c r="C55" s="50" t="s">
        <v>0</v>
      </c>
      <c r="D55" s="50" t="s">
        <v>412</v>
      </c>
      <c r="E55" s="50" t="s">
        <v>0</v>
      </c>
      <c r="F55" s="122" t="s">
        <v>0</v>
      </c>
      <c r="G55" s="122" t="s">
        <v>11</v>
      </c>
      <c r="H55" s="122">
        <v>1</v>
      </c>
      <c r="I55" s="122" t="s">
        <v>0</v>
      </c>
      <c r="J55" s="51">
        <f>('Phan tich don gia'!G259)/10</f>
        <v>5910.07992</v>
      </c>
      <c r="K55" s="124">
        <v>0.68</v>
      </c>
      <c r="L55" s="124"/>
      <c r="M55" s="124"/>
      <c r="N55" s="51">
        <f>ROUND(J55*K55*H55,1)</f>
        <v>4018.9</v>
      </c>
      <c r="O55" s="51"/>
      <c r="P55" s="51"/>
      <c r="Q55" s="120">
        <v>0</v>
      </c>
      <c r="R55" s="41" t="s">
        <v>0</v>
      </c>
    </row>
    <row r="56" spans="1:18" ht="14.25">
      <c r="A56" s="49" t="s">
        <v>0</v>
      </c>
      <c r="B56" s="50" t="s">
        <v>411</v>
      </c>
      <c r="C56" s="50" t="s">
        <v>0</v>
      </c>
      <c r="D56" s="50" t="s">
        <v>0</v>
      </c>
      <c r="E56" s="50" t="s">
        <v>0</v>
      </c>
      <c r="F56" s="122" t="s">
        <v>0</v>
      </c>
      <c r="G56" s="122" t="s">
        <v>11</v>
      </c>
      <c r="H56" s="122">
        <v>1</v>
      </c>
      <c r="I56" s="122" t="s">
        <v>0</v>
      </c>
      <c r="J56" s="51">
        <f>('Phan tich don gia'!G264)/10</f>
        <v>4345.647</v>
      </c>
      <c r="K56" s="124">
        <v>0.68</v>
      </c>
      <c r="L56" s="124"/>
      <c r="M56" s="124"/>
      <c r="N56" s="51">
        <f>ROUND(J56*K56*H56,1)</f>
        <v>2955</v>
      </c>
      <c r="O56" s="51"/>
      <c r="P56" s="51"/>
      <c r="Q56" s="120">
        <v>0</v>
      </c>
      <c r="R56" s="41" t="s">
        <v>0</v>
      </c>
    </row>
    <row r="57" spans="1:18" ht="14.25">
      <c r="A57" s="49" t="s">
        <v>0</v>
      </c>
      <c r="B57" s="50" t="s">
        <v>411</v>
      </c>
      <c r="C57" s="50" t="s">
        <v>0</v>
      </c>
      <c r="D57" s="50" t="s">
        <v>0</v>
      </c>
      <c r="E57" s="50" t="s">
        <v>0</v>
      </c>
      <c r="F57" s="122" t="s">
        <v>0</v>
      </c>
      <c r="G57" s="122" t="s">
        <v>27</v>
      </c>
      <c r="H57" s="122">
        <v>8</v>
      </c>
      <c r="I57" s="122" t="s">
        <v>0</v>
      </c>
      <c r="J57" s="51">
        <f>('Phan tich don gia'!G264)/10</f>
        <v>4345.647</v>
      </c>
      <c r="K57" s="124">
        <v>1.35</v>
      </c>
      <c r="L57" s="124"/>
      <c r="M57" s="124"/>
      <c r="N57" s="51">
        <f>ROUND(J57*K57*H57,1)</f>
        <v>46933</v>
      </c>
      <c r="O57" s="51"/>
      <c r="P57" s="51"/>
      <c r="Q57" s="120">
        <v>0</v>
      </c>
      <c r="R57" s="41" t="s">
        <v>0</v>
      </c>
    </row>
    <row r="58" spans="1:18" ht="14.25">
      <c r="A58" s="49" t="s">
        <v>0</v>
      </c>
      <c r="B58" s="50" t="s">
        <v>410</v>
      </c>
      <c r="C58" s="50" t="s">
        <v>0</v>
      </c>
      <c r="D58" s="50" t="s">
        <v>0</v>
      </c>
      <c r="E58" s="50" t="s">
        <v>409</v>
      </c>
      <c r="F58" s="122" t="s">
        <v>0</v>
      </c>
      <c r="G58" s="122" t="s">
        <v>27</v>
      </c>
      <c r="H58" s="122">
        <v>10</v>
      </c>
      <c r="I58" s="122" t="s">
        <v>0</v>
      </c>
      <c r="J58" s="51">
        <f>('Phan tich don gia'!G269)/10</f>
        <v>3128.86584</v>
      </c>
      <c r="K58" s="124">
        <v>1.35</v>
      </c>
      <c r="L58" s="124"/>
      <c r="M58" s="124"/>
      <c r="N58" s="51">
        <f>ROUND(J58*K58*H58,1)</f>
        <v>42239.7</v>
      </c>
      <c r="O58" s="51"/>
      <c r="P58" s="51"/>
      <c r="Q58" s="120">
        <v>0</v>
      </c>
      <c r="R58" s="41" t="s">
        <v>0</v>
      </c>
    </row>
    <row r="59" spans="1:18" ht="14.25">
      <c r="A59" s="49" t="s">
        <v>306</v>
      </c>
      <c r="B59" s="50" t="s">
        <v>415</v>
      </c>
      <c r="C59" s="50" t="s">
        <v>21</v>
      </c>
      <c r="D59" s="50" t="s">
        <v>0</v>
      </c>
      <c r="E59" s="50" t="s">
        <v>0</v>
      </c>
      <c r="F59" s="122" t="s">
        <v>2</v>
      </c>
      <c r="G59" s="122" t="s">
        <v>0</v>
      </c>
      <c r="H59" s="122"/>
      <c r="I59" s="122" t="s">
        <v>414</v>
      </c>
      <c r="J59" s="51"/>
      <c r="K59" s="124"/>
      <c r="L59" s="124"/>
      <c r="M59" s="124"/>
      <c r="N59" s="118">
        <f>SUM(N60:N63)</f>
        <v>96146.6</v>
      </c>
      <c r="O59" s="118"/>
      <c r="P59" s="118">
        <v>227273</v>
      </c>
      <c r="Q59" s="119">
        <f>N59+O59+P59</f>
        <v>323419.6</v>
      </c>
      <c r="R59" s="41" t="s">
        <v>0</v>
      </c>
    </row>
    <row r="60" spans="1:18" ht="14.25">
      <c r="A60" s="49" t="s">
        <v>0</v>
      </c>
      <c r="B60" s="50" t="s">
        <v>413</v>
      </c>
      <c r="C60" s="50" t="s">
        <v>0</v>
      </c>
      <c r="D60" s="50" t="s">
        <v>412</v>
      </c>
      <c r="E60" s="50" t="s">
        <v>0</v>
      </c>
      <c r="F60" s="122" t="s">
        <v>0</v>
      </c>
      <c r="G60" s="122" t="s">
        <v>11</v>
      </c>
      <c r="H60" s="122">
        <v>1</v>
      </c>
      <c r="I60" s="122" t="s">
        <v>0</v>
      </c>
      <c r="J60" s="51">
        <f>('Phan tich don gia'!G259)/10</f>
        <v>5910.07992</v>
      </c>
      <c r="K60" s="124">
        <v>0.68</v>
      </c>
      <c r="L60" s="124"/>
      <c r="M60" s="124"/>
      <c r="N60" s="51">
        <f>ROUND(J60*K60*H60,1)</f>
        <v>4018.9</v>
      </c>
      <c r="O60" s="51"/>
      <c r="P60" s="51"/>
      <c r="Q60" s="120">
        <v>0</v>
      </c>
      <c r="R60" s="41" t="s">
        <v>0</v>
      </c>
    </row>
    <row r="61" spans="1:18" ht="14.25">
      <c r="A61" s="49" t="s">
        <v>0</v>
      </c>
      <c r="B61" s="50" t="s">
        <v>411</v>
      </c>
      <c r="C61" s="50" t="s">
        <v>0</v>
      </c>
      <c r="D61" s="50" t="s">
        <v>0</v>
      </c>
      <c r="E61" s="50" t="s">
        <v>0</v>
      </c>
      <c r="F61" s="122" t="s">
        <v>0</v>
      </c>
      <c r="G61" s="122" t="s">
        <v>11</v>
      </c>
      <c r="H61" s="122">
        <v>1</v>
      </c>
      <c r="I61" s="122" t="s">
        <v>0</v>
      </c>
      <c r="J61" s="51">
        <f>('Phan tich don gia'!G264)/10</f>
        <v>4345.647</v>
      </c>
      <c r="K61" s="124">
        <v>0.68</v>
      </c>
      <c r="L61" s="124"/>
      <c r="M61" s="124"/>
      <c r="N61" s="51">
        <f>ROUND(J61*K61*H61,1)</f>
        <v>2955</v>
      </c>
      <c r="O61" s="51"/>
      <c r="P61" s="51"/>
      <c r="Q61" s="120">
        <v>0</v>
      </c>
      <c r="R61" s="41" t="s">
        <v>0</v>
      </c>
    </row>
    <row r="62" spans="1:18" ht="14.25">
      <c r="A62" s="49" t="s">
        <v>0</v>
      </c>
      <c r="B62" s="50" t="s">
        <v>411</v>
      </c>
      <c r="C62" s="50" t="s">
        <v>0</v>
      </c>
      <c r="D62" s="50" t="s">
        <v>0</v>
      </c>
      <c r="E62" s="50" t="s">
        <v>0</v>
      </c>
      <c r="F62" s="122" t="s">
        <v>0</v>
      </c>
      <c r="G62" s="122" t="s">
        <v>27</v>
      </c>
      <c r="H62" s="122">
        <v>8</v>
      </c>
      <c r="I62" s="122" t="s">
        <v>0</v>
      </c>
      <c r="J62" s="51">
        <f>('Phan tich don gia'!G264)/10</f>
        <v>4345.647</v>
      </c>
      <c r="K62" s="124">
        <v>1.35</v>
      </c>
      <c r="L62" s="124"/>
      <c r="M62" s="124"/>
      <c r="N62" s="51">
        <f>ROUND(J62*K62*H62,1)</f>
        <v>46933</v>
      </c>
      <c r="O62" s="51"/>
      <c r="P62" s="51"/>
      <c r="Q62" s="120">
        <v>0</v>
      </c>
      <c r="R62" s="41" t="s">
        <v>0</v>
      </c>
    </row>
    <row r="63" spans="1:18" ht="14.25">
      <c r="A63" s="49" t="s">
        <v>0</v>
      </c>
      <c r="B63" s="50" t="s">
        <v>410</v>
      </c>
      <c r="C63" s="50" t="s">
        <v>0</v>
      </c>
      <c r="D63" s="50" t="s">
        <v>0</v>
      </c>
      <c r="E63" s="50" t="s">
        <v>409</v>
      </c>
      <c r="F63" s="122" t="s">
        <v>0</v>
      </c>
      <c r="G63" s="122" t="s">
        <v>27</v>
      </c>
      <c r="H63" s="122">
        <v>10</v>
      </c>
      <c r="I63" s="122" t="s">
        <v>0</v>
      </c>
      <c r="J63" s="51">
        <f>('Phan tich don gia'!G269)/10</f>
        <v>3128.86584</v>
      </c>
      <c r="K63" s="124">
        <v>1.35</v>
      </c>
      <c r="L63" s="124"/>
      <c r="M63" s="124"/>
      <c r="N63" s="51">
        <f>ROUND(J63*K63*H63,1)</f>
        <v>42239.7</v>
      </c>
      <c r="O63" s="51"/>
      <c r="P63" s="51"/>
      <c r="Q63" s="120">
        <v>0</v>
      </c>
      <c r="R63" s="41" t="s">
        <v>0</v>
      </c>
    </row>
    <row r="64" spans="1:18" ht="14.25">
      <c r="A64" s="49" t="s">
        <v>305</v>
      </c>
      <c r="B64" s="50" t="s">
        <v>408</v>
      </c>
      <c r="C64" s="50" t="s">
        <v>58</v>
      </c>
      <c r="D64" s="50" t="s">
        <v>0</v>
      </c>
      <c r="E64" s="50" t="s">
        <v>0</v>
      </c>
      <c r="F64" s="122" t="s">
        <v>0</v>
      </c>
      <c r="G64" s="122" t="s">
        <v>0</v>
      </c>
      <c r="H64" s="122"/>
      <c r="I64" s="122" t="s">
        <v>402</v>
      </c>
      <c r="J64" s="51"/>
      <c r="K64" s="124"/>
      <c r="L64" s="124"/>
      <c r="M64" s="124"/>
      <c r="N64" s="118"/>
      <c r="O64" s="118"/>
      <c r="P64" s="118">
        <v>50000</v>
      </c>
      <c r="Q64" s="119">
        <f aca="true" t="shared" si="2" ref="Q64:Q69">N64+O64+P64</f>
        <v>50000</v>
      </c>
      <c r="R64" s="41" t="s">
        <v>0</v>
      </c>
    </row>
    <row r="65" spans="1:18" ht="14.25">
      <c r="A65" s="49" t="s">
        <v>304</v>
      </c>
      <c r="B65" s="50" t="s">
        <v>407</v>
      </c>
      <c r="C65" s="50" t="s">
        <v>75</v>
      </c>
      <c r="D65" s="50" t="s">
        <v>0</v>
      </c>
      <c r="E65" s="50" t="s">
        <v>0</v>
      </c>
      <c r="F65" s="122" t="s">
        <v>0</v>
      </c>
      <c r="G65" s="122" t="s">
        <v>0</v>
      </c>
      <c r="H65" s="122"/>
      <c r="I65" s="122" t="s">
        <v>402</v>
      </c>
      <c r="J65" s="51"/>
      <c r="K65" s="124"/>
      <c r="L65" s="124"/>
      <c r="M65" s="124"/>
      <c r="N65" s="118"/>
      <c r="O65" s="118"/>
      <c r="P65" s="118">
        <v>9250</v>
      </c>
      <c r="Q65" s="119">
        <f t="shared" si="2"/>
        <v>9250</v>
      </c>
      <c r="R65" s="41" t="s">
        <v>0</v>
      </c>
    </row>
    <row r="66" spans="1:18" ht="14.25">
      <c r="A66" s="49" t="s">
        <v>303</v>
      </c>
      <c r="B66" s="50" t="s">
        <v>406</v>
      </c>
      <c r="C66" s="50" t="s">
        <v>121</v>
      </c>
      <c r="D66" s="50" t="s">
        <v>0</v>
      </c>
      <c r="E66" s="50" t="s">
        <v>0</v>
      </c>
      <c r="F66" s="122" t="s">
        <v>0</v>
      </c>
      <c r="G66" s="122" t="s">
        <v>0</v>
      </c>
      <c r="H66" s="122"/>
      <c r="I66" s="122" t="s">
        <v>402</v>
      </c>
      <c r="J66" s="51"/>
      <c r="K66" s="124"/>
      <c r="L66" s="124"/>
      <c r="M66" s="124"/>
      <c r="N66" s="118"/>
      <c r="O66" s="118"/>
      <c r="P66" s="118">
        <v>14800</v>
      </c>
      <c r="Q66" s="119">
        <f t="shared" si="2"/>
        <v>14800</v>
      </c>
      <c r="R66" s="41" t="s">
        <v>0</v>
      </c>
    </row>
    <row r="67" spans="1:18" ht="14.25">
      <c r="A67" s="49" t="s">
        <v>302</v>
      </c>
      <c r="B67" s="50" t="s">
        <v>405</v>
      </c>
      <c r="C67" s="50" t="s">
        <v>121</v>
      </c>
      <c r="D67" s="50" t="s">
        <v>0</v>
      </c>
      <c r="E67" s="50" t="s">
        <v>0</v>
      </c>
      <c r="F67" s="122" t="s">
        <v>0</v>
      </c>
      <c r="G67" s="122" t="s">
        <v>0</v>
      </c>
      <c r="H67" s="122"/>
      <c r="I67" s="122" t="s">
        <v>402</v>
      </c>
      <c r="J67" s="51"/>
      <c r="K67" s="124"/>
      <c r="L67" s="124"/>
      <c r="M67" s="124"/>
      <c r="N67" s="118"/>
      <c r="O67" s="118"/>
      <c r="P67" s="118">
        <v>17500</v>
      </c>
      <c r="Q67" s="119">
        <f t="shared" si="2"/>
        <v>17500</v>
      </c>
      <c r="R67" s="41" t="s">
        <v>0</v>
      </c>
    </row>
    <row r="68" spans="1:18" ht="14.25">
      <c r="A68" s="49" t="s">
        <v>301</v>
      </c>
      <c r="B68" s="50" t="s">
        <v>404</v>
      </c>
      <c r="C68" s="50" t="s">
        <v>73</v>
      </c>
      <c r="D68" s="50" t="s">
        <v>0</v>
      </c>
      <c r="E68" s="50" t="s">
        <v>0</v>
      </c>
      <c r="F68" s="122" t="s">
        <v>0</v>
      </c>
      <c r="G68" s="122" t="s">
        <v>0</v>
      </c>
      <c r="H68" s="122"/>
      <c r="I68" s="122" t="s">
        <v>402</v>
      </c>
      <c r="J68" s="51"/>
      <c r="K68" s="124"/>
      <c r="L68" s="124"/>
      <c r="M68" s="124"/>
      <c r="N68" s="118"/>
      <c r="O68" s="118"/>
      <c r="P68" s="118">
        <v>5600468</v>
      </c>
      <c r="Q68" s="119">
        <f t="shared" si="2"/>
        <v>5600468</v>
      </c>
      <c r="R68" s="41" t="s">
        <v>0</v>
      </c>
    </row>
    <row r="69" spans="1:18" ht="14.25">
      <c r="A69" s="186" t="s">
        <v>300</v>
      </c>
      <c r="B69" s="187" t="s">
        <v>403</v>
      </c>
      <c r="C69" s="187" t="s">
        <v>103</v>
      </c>
      <c r="D69" s="187" t="s">
        <v>0</v>
      </c>
      <c r="E69" s="187" t="s">
        <v>0</v>
      </c>
      <c r="F69" s="188" t="s">
        <v>0</v>
      </c>
      <c r="G69" s="188" t="s">
        <v>0</v>
      </c>
      <c r="H69" s="188"/>
      <c r="I69" s="188" t="s">
        <v>402</v>
      </c>
      <c r="J69" s="189"/>
      <c r="K69" s="190"/>
      <c r="L69" s="190"/>
      <c r="M69" s="190"/>
      <c r="N69" s="191"/>
      <c r="O69" s="191"/>
      <c r="P69" s="191">
        <v>29300</v>
      </c>
      <c r="Q69" s="192">
        <f t="shared" si="2"/>
        <v>29300</v>
      </c>
      <c r="R69" s="41" t="s">
        <v>0</v>
      </c>
    </row>
    <row r="70" spans="1:17" ht="15" thickBot="1">
      <c r="A70" s="193">
        <v>46</v>
      </c>
      <c r="B70" s="48" t="s">
        <v>555</v>
      </c>
      <c r="C70" s="48" t="s">
        <v>103</v>
      </c>
      <c r="D70" s="48" t="s">
        <v>0</v>
      </c>
      <c r="E70" s="48" t="s">
        <v>0</v>
      </c>
      <c r="F70" s="194" t="s">
        <v>0</v>
      </c>
      <c r="G70" s="194" t="s">
        <v>0</v>
      </c>
      <c r="H70" s="194"/>
      <c r="I70" s="194" t="s">
        <v>402</v>
      </c>
      <c r="J70" s="195"/>
      <c r="K70" s="196"/>
      <c r="L70" s="196"/>
      <c r="M70" s="196"/>
      <c r="N70" s="195"/>
      <c r="O70" s="195"/>
      <c r="P70" s="195">
        <v>26550</v>
      </c>
      <c r="Q70" s="197">
        <v>26550</v>
      </c>
    </row>
  </sheetData>
  <sheetProtection/>
  <mergeCells count="4">
    <mergeCell ref="A1:Q1"/>
    <mergeCell ref="A3:Q3"/>
    <mergeCell ref="A4:Q4"/>
    <mergeCell ref="A5:Q5"/>
  </mergeCells>
  <printOptions horizontalCentered="1"/>
  <pageMargins left="0.4" right="0.2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showZeros="0" zoomScalePageLayoutView="0" workbookViewId="0" topLeftCell="A1">
      <selection activeCell="A1" sqref="A1:K1"/>
    </sheetView>
  </sheetViews>
  <sheetFormatPr defaultColWidth="8.796875" defaultRowHeight="15"/>
  <cols>
    <col min="1" max="1" width="3.59765625" style="41" customWidth="1"/>
    <col min="2" max="2" width="7.59765625" style="41" customWidth="1"/>
    <col min="3" max="3" width="25.59765625" style="41" customWidth="1"/>
    <col min="4" max="4" width="4.69921875" style="41" customWidth="1"/>
    <col min="5" max="5" width="7.09765625" style="143" customWidth="1"/>
    <col min="6" max="8" width="6.09765625" style="116" customWidth="1"/>
    <col min="9" max="9" width="6.59765625" style="116" customWidth="1"/>
    <col min="10" max="10" width="60" style="41" hidden="1" customWidth="1"/>
    <col min="11" max="11" width="9.59765625" style="64" customWidth="1"/>
    <col min="12" max="16384" width="9" style="41" customWidth="1"/>
  </cols>
  <sheetData>
    <row r="1" spans="1:11" ht="21" customHeight="1">
      <c r="A1" s="251" t="s">
        <v>534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4.25">
      <c r="A2" s="44"/>
      <c r="B2" s="44"/>
      <c r="C2" s="44"/>
      <c r="D2" s="44"/>
      <c r="E2" s="146"/>
      <c r="F2" s="147"/>
      <c r="G2" s="147"/>
      <c r="H2" s="147"/>
      <c r="I2" s="147"/>
      <c r="J2" s="44"/>
      <c r="K2" s="68"/>
    </row>
    <row r="3" spans="1:11" s="39" customFormat="1" ht="16.5" customHeight="1">
      <c r="A3" s="250" t="s">
        <v>477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s="39" customFormat="1" ht="16.5" customHeight="1">
      <c r="A4" s="250" t="s">
        <v>478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</row>
    <row r="5" spans="1:11" s="39" customFormat="1" ht="16.5" customHeight="1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</row>
    <row r="6" spans="1:11" ht="15" thickBot="1">
      <c r="A6" s="44"/>
      <c r="B6" s="44"/>
      <c r="C6" s="44"/>
      <c r="D6" s="44"/>
      <c r="E6" s="146"/>
      <c r="F6" s="147"/>
      <c r="G6" s="147"/>
      <c r="H6" s="147"/>
      <c r="I6" s="147"/>
      <c r="J6" s="44"/>
      <c r="K6" s="68"/>
    </row>
    <row r="7" spans="1:11" ht="45" customHeight="1">
      <c r="A7" s="137" t="s">
        <v>275</v>
      </c>
      <c r="B7" s="139" t="s">
        <v>489</v>
      </c>
      <c r="C7" s="138" t="s">
        <v>490</v>
      </c>
      <c r="D7" s="139" t="s">
        <v>499</v>
      </c>
      <c r="E7" s="148" t="s">
        <v>535</v>
      </c>
      <c r="F7" s="149" t="s">
        <v>536</v>
      </c>
      <c r="G7" s="149" t="s">
        <v>537</v>
      </c>
      <c r="H7" s="149" t="s">
        <v>538</v>
      </c>
      <c r="I7" s="149" t="s">
        <v>539</v>
      </c>
      <c r="J7" s="138" t="s">
        <v>540</v>
      </c>
      <c r="K7" s="150" t="s">
        <v>541</v>
      </c>
    </row>
    <row r="8" spans="1:11" ht="15" thickBot="1">
      <c r="A8" s="47" t="s">
        <v>0</v>
      </c>
      <c r="B8" s="48" t="s">
        <v>0</v>
      </c>
      <c r="C8" s="48" t="s">
        <v>0</v>
      </c>
      <c r="D8" s="48" t="s">
        <v>0</v>
      </c>
      <c r="E8" s="144" t="s">
        <v>0</v>
      </c>
      <c r="F8" s="117">
        <v>0</v>
      </c>
      <c r="G8" s="117">
        <v>0</v>
      </c>
      <c r="H8" s="117">
        <v>0</v>
      </c>
      <c r="I8" s="117">
        <v>0</v>
      </c>
      <c r="J8" s="48" t="s">
        <v>0</v>
      </c>
      <c r="K8" s="145"/>
    </row>
  </sheetData>
  <sheetProtection/>
  <mergeCells count="4">
    <mergeCell ref="A1:K1"/>
    <mergeCell ref="A3:K3"/>
    <mergeCell ref="A4:K4"/>
    <mergeCell ref="A5:K5"/>
  </mergeCells>
  <printOptions horizontalCentered="1"/>
  <pageMargins left="0.6" right="0.4" top="0.75" bottom="0.7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9"/>
  <sheetViews>
    <sheetView showZeros="0" zoomScalePageLayoutView="0" workbookViewId="0" topLeftCell="A1">
      <selection activeCell="A1" sqref="A1:F1"/>
    </sheetView>
  </sheetViews>
  <sheetFormatPr defaultColWidth="8.796875" defaultRowHeight="15"/>
  <cols>
    <col min="1" max="1" width="4.3984375" style="6" customWidth="1"/>
    <col min="2" max="2" width="32.69921875" style="6" customWidth="1"/>
    <col min="3" max="3" width="5.59765625" style="6" customWidth="1"/>
    <col min="4" max="4" width="12" style="151" customWidth="1"/>
    <col min="5" max="5" width="12.5" style="151" customWidth="1"/>
    <col min="6" max="6" width="15.59765625" style="151" customWidth="1"/>
    <col min="7" max="16384" width="9" style="6" customWidth="1"/>
  </cols>
  <sheetData>
    <row r="1" spans="1:6" ht="21">
      <c r="A1" s="251" t="s">
        <v>542</v>
      </c>
      <c r="B1" s="251"/>
      <c r="C1" s="251"/>
      <c r="D1" s="251"/>
      <c r="E1" s="251"/>
      <c r="F1" s="251"/>
    </row>
    <row r="2" spans="1:6" ht="15.75">
      <c r="A2" s="2"/>
      <c r="B2" s="2"/>
      <c r="C2" s="2"/>
      <c r="D2" s="5"/>
      <c r="E2" s="5"/>
      <c r="F2" s="5"/>
    </row>
    <row r="3" spans="1:6" s="39" customFormat="1" ht="16.5">
      <c r="A3" s="250" t="s">
        <v>477</v>
      </c>
      <c r="B3" s="250"/>
      <c r="C3" s="250"/>
      <c r="D3" s="250"/>
      <c r="E3" s="250"/>
      <c r="F3" s="250"/>
    </row>
    <row r="4" spans="1:6" s="39" customFormat="1" ht="16.5">
      <c r="A4" s="250" t="s">
        <v>478</v>
      </c>
      <c r="B4" s="250"/>
      <c r="C4" s="250"/>
      <c r="D4" s="250"/>
      <c r="E4" s="250"/>
      <c r="F4" s="250"/>
    </row>
    <row r="5" spans="1:6" s="39" customFormat="1" ht="16.5">
      <c r="A5" s="250"/>
      <c r="B5" s="250"/>
      <c r="C5" s="250"/>
      <c r="D5" s="250"/>
      <c r="E5" s="250"/>
      <c r="F5" s="250"/>
    </row>
    <row r="6" spans="1:6" ht="16.5" thickBot="1">
      <c r="A6" s="2"/>
      <c r="B6" s="2"/>
      <c r="C6" s="2"/>
      <c r="D6" s="5"/>
      <c r="E6" s="5"/>
      <c r="F6" s="5"/>
    </row>
    <row r="7" spans="1:6" ht="45" customHeight="1">
      <c r="A7" s="34" t="s">
        <v>275</v>
      </c>
      <c r="B7" s="35" t="s">
        <v>543</v>
      </c>
      <c r="C7" s="36" t="s">
        <v>499</v>
      </c>
      <c r="D7" s="160" t="s">
        <v>544</v>
      </c>
      <c r="E7" s="160" t="s">
        <v>488</v>
      </c>
      <c r="F7" s="161" t="s">
        <v>486</v>
      </c>
    </row>
    <row r="8" spans="1:6" ht="15.75">
      <c r="A8" s="20" t="s">
        <v>0</v>
      </c>
      <c r="B8" s="21" t="s">
        <v>1</v>
      </c>
      <c r="C8" s="21" t="s">
        <v>0</v>
      </c>
      <c r="D8" s="158">
        <f>SUMIF('Phan tich KL VL,NC,M'!C$8:C$183,B8,'Phan tich KL VL,NC,M'!G$8:G$183)</f>
        <v>0</v>
      </c>
      <c r="E8" s="158">
        <v>0</v>
      </c>
      <c r="F8" s="159"/>
    </row>
    <row r="9" spans="1:6" ht="15">
      <c r="A9" s="12" t="s">
        <v>0</v>
      </c>
      <c r="B9" s="13" t="s">
        <v>0</v>
      </c>
      <c r="C9" s="13" t="s">
        <v>0</v>
      </c>
      <c r="D9" s="154">
        <f>SUMIF('Phan tich KL VL,NC,M'!C$8:C$183,B9,'Phan tich KL VL,NC,M'!G$8:G$183)</f>
        <v>0</v>
      </c>
      <c r="E9" s="154">
        <v>0</v>
      </c>
      <c r="F9" s="155"/>
    </row>
    <row r="10" spans="1:6" ht="15.75">
      <c r="A10" s="8" t="s">
        <v>0</v>
      </c>
      <c r="B10" s="9" t="s">
        <v>461</v>
      </c>
      <c r="C10" s="9" t="s">
        <v>0</v>
      </c>
      <c r="D10" s="152">
        <f>SUMIF('Phan tich KL VL,NC,M'!C$8:C$183,B10,'Phan tich KL VL,NC,M'!G$8:G$183)</f>
        <v>0</v>
      </c>
      <c r="E10" s="152">
        <v>0</v>
      </c>
      <c r="F10" s="153">
        <f>SUM(F11:F58)</f>
        <v>1132284253.043026</v>
      </c>
    </row>
    <row r="11" spans="1:6" ht="15">
      <c r="A11" s="12" t="s">
        <v>0</v>
      </c>
      <c r="B11" s="13" t="s">
        <v>0</v>
      </c>
      <c r="C11" s="13" t="s">
        <v>0</v>
      </c>
      <c r="D11" s="154">
        <f>SUMIF('Phan tich KL VL,NC,M'!C$8:C$183,B11,'Phan tich KL VL,NC,M'!G$8:G$183)</f>
        <v>0</v>
      </c>
      <c r="E11" s="154">
        <v>0</v>
      </c>
      <c r="F11" s="155"/>
    </row>
    <row r="12" spans="1:6" ht="15">
      <c r="A12" s="12" t="s">
        <v>372</v>
      </c>
      <c r="B12" s="13" t="s">
        <v>373</v>
      </c>
      <c r="C12" s="13" t="s">
        <v>372</v>
      </c>
      <c r="D12" s="154">
        <f>100</f>
        <v>100</v>
      </c>
      <c r="E12" s="154">
        <v>6911.57785</v>
      </c>
      <c r="F12" s="155">
        <f aca="true" t="shared" si="0" ref="F12:F57">D12*E12</f>
        <v>691157.7849999999</v>
      </c>
    </row>
    <row r="13" spans="1:6" ht="15">
      <c r="A13" s="12" t="s">
        <v>2</v>
      </c>
      <c r="B13" s="13" t="s">
        <v>124</v>
      </c>
      <c r="C13" s="13" t="s">
        <v>119</v>
      </c>
      <c r="D13" s="154">
        <f>SUMIF('Phan tich KL VL,NC,M'!C$8:C$183,B13,'Phan tich KL VL,NC,M'!G$8:G$183)</f>
        <v>1</v>
      </c>
      <c r="E13" s="154">
        <f>'Gia VL'!Q8</f>
        <v>15450</v>
      </c>
      <c r="F13" s="155">
        <f t="shared" si="0"/>
        <v>15450</v>
      </c>
    </row>
    <row r="14" spans="1:6" ht="15">
      <c r="A14" s="12" t="s">
        <v>11</v>
      </c>
      <c r="B14" s="13" t="s">
        <v>144</v>
      </c>
      <c r="C14" s="13" t="s">
        <v>121</v>
      </c>
      <c r="D14" s="154">
        <f>SUMIF('Phan tich KL VL,NC,M'!C$8:C$183,B14,'Phan tich KL VL,NC,M'!G$8:G$183)</f>
        <v>73</v>
      </c>
      <c r="E14" s="154">
        <f>'Gia VL'!Q9</f>
        <v>16691</v>
      </c>
      <c r="F14" s="155">
        <f t="shared" si="0"/>
        <v>1218443</v>
      </c>
    </row>
    <row r="15" spans="1:6" ht="15">
      <c r="A15" s="12" t="s">
        <v>14</v>
      </c>
      <c r="B15" s="13" t="s">
        <v>134</v>
      </c>
      <c r="C15" s="13" t="s">
        <v>121</v>
      </c>
      <c r="D15" s="154">
        <f>SUMIF('Phan tich KL VL,NC,M'!C$8:C$183,B15,'Phan tich KL VL,NC,M'!G$8:G$183)</f>
        <v>34</v>
      </c>
      <c r="E15" s="154">
        <f>'Gia VL'!Q10</f>
        <v>41800</v>
      </c>
      <c r="F15" s="155">
        <f t="shared" si="0"/>
        <v>1421200</v>
      </c>
    </row>
    <row r="16" spans="1:6" ht="15">
      <c r="A16" s="12" t="s">
        <v>27</v>
      </c>
      <c r="B16" s="13" t="s">
        <v>130</v>
      </c>
      <c r="C16" s="13" t="s">
        <v>103</v>
      </c>
      <c r="D16" s="154">
        <f>SUMIF('Phan tich KL VL,NC,M'!C$8:C$183,B16,'Phan tich KL VL,NC,M'!G$8:G$183)</f>
        <v>6</v>
      </c>
      <c r="E16" s="154">
        <f>'Gia VL'!Q11</f>
        <v>333615</v>
      </c>
      <c r="F16" s="155">
        <f t="shared" si="0"/>
        <v>2001690</v>
      </c>
    </row>
    <row r="17" spans="1:6" ht="15">
      <c r="A17" s="12" t="s">
        <v>34</v>
      </c>
      <c r="B17" s="13" t="s">
        <v>115</v>
      </c>
      <c r="C17" s="13" t="s">
        <v>103</v>
      </c>
      <c r="D17" s="154">
        <f>SUMIF('Phan tich KL VL,NC,M'!C$8:C$183,B17,'Phan tich KL VL,NC,M'!G$8:G$183)</f>
        <v>535</v>
      </c>
      <c r="E17" s="154">
        <f>'Gia VL'!Q12</f>
        <v>22267</v>
      </c>
      <c r="F17" s="155">
        <f t="shared" si="0"/>
        <v>11912845</v>
      </c>
    </row>
    <row r="18" spans="1:6" ht="15">
      <c r="A18" s="12" t="s">
        <v>39</v>
      </c>
      <c r="B18" s="13" t="s">
        <v>20</v>
      </c>
      <c r="C18" s="13" t="s">
        <v>21</v>
      </c>
      <c r="D18" s="154">
        <f>SUMIF('Phan tich KL VL,NC,M'!C$8:C$183,B18,'Phan tich KL VL,NC,M'!G$8:G$183)</f>
        <v>39.129498000000005</v>
      </c>
      <c r="E18" s="154">
        <f>'Gia VL'!Q13</f>
        <v>377786.9</v>
      </c>
      <c r="F18" s="155">
        <f t="shared" si="0"/>
        <v>14782611.747976203</v>
      </c>
    </row>
    <row r="19" spans="1:6" ht="15">
      <c r="A19" s="12" t="s">
        <v>48</v>
      </c>
      <c r="B19" s="13" t="s">
        <v>72</v>
      </c>
      <c r="C19" s="13" t="s">
        <v>73</v>
      </c>
      <c r="D19" s="154">
        <f>SUMIF('Phan tich KL VL,NC,M'!C$8:C$183,B19,'Phan tich KL VL,NC,M'!G$8:G$183)</f>
        <v>75</v>
      </c>
      <c r="E19" s="154">
        <f>'Gia VL'!Q17</f>
        <v>698289</v>
      </c>
      <c r="F19" s="155">
        <f t="shared" si="0"/>
        <v>52371675</v>
      </c>
    </row>
    <row r="20" spans="1:6" ht="15">
      <c r="A20" s="12" t="s">
        <v>53</v>
      </c>
      <c r="B20" s="13" t="s">
        <v>80</v>
      </c>
      <c r="C20" s="13" t="s">
        <v>73</v>
      </c>
      <c r="D20" s="154">
        <f>SUMIF('Phan tich KL VL,NC,M'!C$8:C$183,B20,'Phan tich KL VL,NC,M'!G$8:G$183)</f>
        <v>4</v>
      </c>
      <c r="E20" s="154">
        <f>'Gia VL'!Q18</f>
        <v>780367</v>
      </c>
      <c r="F20" s="155">
        <f t="shared" si="0"/>
        <v>3121468</v>
      </c>
    </row>
    <row r="21" spans="1:6" ht="15">
      <c r="A21" s="12" t="s">
        <v>60</v>
      </c>
      <c r="B21" s="13" t="s">
        <v>84</v>
      </c>
      <c r="C21" s="13" t="s">
        <v>73</v>
      </c>
      <c r="D21" s="154">
        <f>SUMIF('Phan tich KL VL,NC,M'!C$8:C$183,B21,'Phan tich KL VL,NC,M'!G$8:G$183)</f>
        <v>7</v>
      </c>
      <c r="E21" s="154">
        <f>'Gia VL'!Q19</f>
        <v>874566</v>
      </c>
      <c r="F21" s="155">
        <f t="shared" si="0"/>
        <v>6121962</v>
      </c>
    </row>
    <row r="22" spans="1:6" ht="15">
      <c r="A22" s="12" t="s">
        <v>64</v>
      </c>
      <c r="B22" s="13" t="s">
        <v>67</v>
      </c>
      <c r="C22" s="13" t="s">
        <v>58</v>
      </c>
      <c r="D22" s="154">
        <f>SUMIF('Phan tich KL VL,NC,M'!C$8:C$183,B22,'Phan tich KL VL,NC,M'!G$8:G$183)</f>
        <v>12</v>
      </c>
      <c r="E22" s="154">
        <f>'Gia VL'!Q20</f>
        <v>4416000</v>
      </c>
      <c r="F22" s="155">
        <f t="shared" si="0"/>
        <v>52992000</v>
      </c>
    </row>
    <row r="23" spans="1:6" ht="15">
      <c r="A23" s="12" t="s">
        <v>68</v>
      </c>
      <c r="B23" s="13" t="s">
        <v>57</v>
      </c>
      <c r="C23" s="13" t="s">
        <v>58</v>
      </c>
      <c r="D23" s="154">
        <f>SUMIF('Phan tich KL VL,NC,M'!C$8:C$183,B23,'Phan tich KL VL,NC,M'!G$8:G$183)</f>
        <v>56</v>
      </c>
      <c r="E23" s="154">
        <f>'Gia VL'!Q21</f>
        <v>2784000</v>
      </c>
      <c r="F23" s="155">
        <f t="shared" si="0"/>
        <v>155904000</v>
      </c>
    </row>
    <row r="24" spans="1:6" ht="15">
      <c r="A24" s="12" t="s">
        <v>77</v>
      </c>
      <c r="B24" s="13" t="s">
        <v>63</v>
      </c>
      <c r="C24" s="13" t="s">
        <v>58</v>
      </c>
      <c r="D24" s="154">
        <f>SUMIF('Phan tich KL VL,NC,M'!C$8:C$183,B24,'Phan tich KL VL,NC,M'!G$8:G$183)</f>
        <v>6</v>
      </c>
      <c r="E24" s="154">
        <f>'Gia VL'!Q22</f>
        <v>3420000</v>
      </c>
      <c r="F24" s="155">
        <f t="shared" si="0"/>
        <v>20520000</v>
      </c>
    </row>
    <row r="25" spans="1:6" ht="15">
      <c r="A25" s="12" t="s">
        <v>81</v>
      </c>
      <c r="B25" s="13" t="s">
        <v>138</v>
      </c>
      <c r="C25" s="13" t="s">
        <v>139</v>
      </c>
      <c r="D25" s="154">
        <f>SUMIF('Phan tich KL VL,NC,M'!C$8:C$183,B25,'Phan tich KL VL,NC,M'!G$8:G$183)</f>
        <v>2</v>
      </c>
      <c r="E25" s="154">
        <f>'Gia VL'!Q23</f>
        <v>400</v>
      </c>
      <c r="F25" s="155">
        <f t="shared" si="0"/>
        <v>800</v>
      </c>
    </row>
    <row r="26" spans="1:6" ht="15">
      <c r="A26" s="12" t="s">
        <v>85</v>
      </c>
      <c r="B26" s="13" t="s">
        <v>111</v>
      </c>
      <c r="C26" s="13" t="s">
        <v>103</v>
      </c>
      <c r="D26" s="154">
        <f>SUMIF('Phan tich KL VL,NC,M'!C$8:C$183,B26,'Phan tich KL VL,NC,M'!G$8:G$183)</f>
        <v>3302</v>
      </c>
      <c r="E26" s="154">
        <f>'Gia VL'!Q24</f>
        <v>43185</v>
      </c>
      <c r="F26" s="155">
        <f t="shared" si="0"/>
        <v>142596870</v>
      </c>
    </row>
    <row r="27" spans="1:6" ht="15">
      <c r="A27" s="12" t="s">
        <v>90</v>
      </c>
      <c r="B27" s="13" t="s">
        <v>102</v>
      </c>
      <c r="C27" s="13" t="s">
        <v>103</v>
      </c>
      <c r="D27" s="154">
        <f>SUMIF('Phan tich KL VL,NC,M'!C$8:C$183,B27,'Phan tich KL VL,NC,M'!G$8:G$183)</f>
        <v>15</v>
      </c>
      <c r="E27" s="154">
        <f>'Gia VL'!Q25</f>
        <v>30871</v>
      </c>
      <c r="F27" s="155">
        <f t="shared" si="0"/>
        <v>463065</v>
      </c>
    </row>
    <row r="28" spans="1:6" ht="15">
      <c r="A28" s="12" t="s">
        <v>97</v>
      </c>
      <c r="B28" s="13" t="s">
        <v>123</v>
      </c>
      <c r="C28" s="13" t="s">
        <v>103</v>
      </c>
      <c r="D28" s="154">
        <f>SUMIF('Phan tich KL VL,NC,M'!C$8:C$183,B28,'Phan tich KL VL,NC,M'!G$8:G$183)</f>
        <v>1.5</v>
      </c>
      <c r="E28" s="154">
        <f>'Gia VL'!Q26</f>
        <v>113125</v>
      </c>
      <c r="F28" s="155">
        <f t="shared" si="0"/>
        <v>169687.5</v>
      </c>
    </row>
    <row r="29" spans="1:6" ht="15">
      <c r="A29" s="12" t="s">
        <v>106</v>
      </c>
      <c r="B29" s="13" t="s">
        <v>96</v>
      </c>
      <c r="C29" s="13" t="s">
        <v>73</v>
      </c>
      <c r="D29" s="154">
        <f>SUMIF('Phan tich KL VL,NC,M'!C$8:C$183,B29,'Phan tich KL VL,NC,M'!G$8:G$183)</f>
        <v>2</v>
      </c>
      <c r="E29" s="154">
        <f>'Gia VL'!Q27</f>
        <v>147491</v>
      </c>
      <c r="F29" s="155">
        <f t="shared" si="0"/>
        <v>294982</v>
      </c>
    </row>
    <row r="30" spans="1:6" ht="15">
      <c r="A30" s="12" t="s">
        <v>112</v>
      </c>
      <c r="B30" s="13" t="s">
        <v>45</v>
      </c>
      <c r="C30" s="13" t="s">
        <v>21</v>
      </c>
      <c r="D30" s="154">
        <f>SUMIF('Phan tich KL VL,NC,M'!C$8:C$183,B30,'Phan tich KL VL,NC,M'!G$8:G$183)</f>
        <v>0.898872</v>
      </c>
      <c r="E30" s="154">
        <f>'Gia VL'!Q28</f>
        <v>4090909.09</v>
      </c>
      <c r="F30" s="155">
        <f t="shared" si="0"/>
        <v>3677203.63554648</v>
      </c>
    </row>
    <row r="31" spans="1:6" ht="15">
      <c r="A31" s="12" t="s">
        <v>116</v>
      </c>
      <c r="B31" s="13" t="s">
        <v>43</v>
      </c>
      <c r="C31" s="13" t="s">
        <v>21</v>
      </c>
      <c r="D31" s="154">
        <f>SUMIF('Phan tich KL VL,NC,M'!C$8:C$183,B31,'Phan tich KL VL,NC,M'!G$8:G$183)</f>
        <v>2.1304608</v>
      </c>
      <c r="E31" s="154">
        <f>'Gia VL'!Q29</f>
        <v>4090909.09</v>
      </c>
      <c r="F31" s="155">
        <f t="shared" si="0"/>
        <v>8715521.452608671</v>
      </c>
    </row>
    <row r="32" spans="1:6" ht="15">
      <c r="A32" s="12" t="s">
        <v>125</v>
      </c>
      <c r="B32" s="13" t="s">
        <v>44</v>
      </c>
      <c r="C32" s="13" t="s">
        <v>21</v>
      </c>
      <c r="D32" s="154">
        <f>SUMIF('Phan tich KL VL,NC,M'!C$8:C$183,B32,'Phan tich KL VL,NC,M'!G$8:G$183)</f>
        <v>0.563472</v>
      </c>
      <c r="E32" s="154">
        <f>'Gia VL'!Q30</f>
        <v>4090909.09</v>
      </c>
      <c r="F32" s="155">
        <f t="shared" si="0"/>
        <v>2305112.7267604796</v>
      </c>
    </row>
    <row r="33" spans="1:6" ht="15">
      <c r="A33" s="12" t="s">
        <v>131</v>
      </c>
      <c r="B33" s="13" t="s">
        <v>136</v>
      </c>
      <c r="C33" s="13" t="s">
        <v>119</v>
      </c>
      <c r="D33" s="154">
        <f>SUMIF('Phan tich KL VL,NC,M'!C$8:C$183,B33,'Phan tich KL VL,NC,M'!G$8:G$183)</f>
        <v>16</v>
      </c>
      <c r="E33" s="154">
        <f>'Gia VL'!Q31</f>
        <v>2200</v>
      </c>
      <c r="F33" s="155">
        <f t="shared" si="0"/>
        <v>35200</v>
      </c>
    </row>
    <row r="34" spans="1:6" ht="15">
      <c r="A34" s="12" t="s">
        <v>141</v>
      </c>
      <c r="B34" s="13" t="s">
        <v>135</v>
      </c>
      <c r="C34" s="13" t="s">
        <v>121</v>
      </c>
      <c r="D34" s="154">
        <f>SUMIF('Phan tich KL VL,NC,M'!C$8:C$183,B34,'Phan tich KL VL,NC,M'!G$8:G$183)</f>
        <v>40</v>
      </c>
      <c r="E34" s="154">
        <f>'Gia VL'!Q32</f>
        <v>45570</v>
      </c>
      <c r="F34" s="155">
        <f t="shared" si="0"/>
        <v>1822800</v>
      </c>
    </row>
    <row r="35" spans="1:6" ht="15">
      <c r="A35" s="12" t="s">
        <v>146</v>
      </c>
      <c r="B35" s="13" t="s">
        <v>120</v>
      </c>
      <c r="C35" s="13" t="s">
        <v>121</v>
      </c>
      <c r="D35" s="154">
        <f>SUMIF('Phan tich KL VL,NC,M'!C$8:C$183,B35,'Phan tich KL VL,NC,M'!G$8:G$183)</f>
        <v>1</v>
      </c>
      <c r="E35" s="154">
        <f>'Gia VL'!Q33</f>
        <v>54300</v>
      </c>
      <c r="F35" s="155">
        <f t="shared" si="0"/>
        <v>54300</v>
      </c>
    </row>
    <row r="36" spans="1:6" ht="15">
      <c r="A36" s="12" t="s">
        <v>149</v>
      </c>
      <c r="B36" s="13" t="s">
        <v>168</v>
      </c>
      <c r="C36" s="13" t="s">
        <v>121</v>
      </c>
      <c r="D36" s="154">
        <f>SUMIF('Phan tich KL VL,NC,M'!C$8:C$183,B36,'Phan tich KL VL,NC,M'!G$8:G$183)</f>
        <v>172</v>
      </c>
      <c r="E36" s="154">
        <f>'Gia VL'!Q34</f>
        <v>54300</v>
      </c>
      <c r="F36" s="155">
        <f t="shared" si="0"/>
        <v>9339600</v>
      </c>
    </row>
    <row r="37" spans="1:6" ht="15">
      <c r="A37" s="12" t="s">
        <v>153</v>
      </c>
      <c r="B37" s="13" t="s">
        <v>145</v>
      </c>
      <c r="C37" s="13" t="s">
        <v>121</v>
      </c>
      <c r="D37" s="154">
        <f>SUMIF('Phan tich KL VL,NC,M'!C$8:C$183,B37,'Phan tich KL VL,NC,M'!G$8:G$183)</f>
        <v>67</v>
      </c>
      <c r="E37" s="154">
        <f>'Gia VL'!Q35</f>
        <v>21400</v>
      </c>
      <c r="F37" s="155">
        <f t="shared" si="0"/>
        <v>1433800</v>
      </c>
    </row>
    <row r="38" spans="1:6" ht="15">
      <c r="A38" s="12" t="s">
        <v>156</v>
      </c>
      <c r="B38" s="13" t="s">
        <v>23</v>
      </c>
      <c r="C38" s="13" t="s">
        <v>21</v>
      </c>
      <c r="D38" s="154">
        <f>SUMIF('Phan tich KL VL,NC,M'!C$8:C$183,B38,'Phan tich KL VL,NC,M'!G$8:G$183)</f>
        <v>12.216400999999996</v>
      </c>
      <c r="E38" s="154">
        <f>'Gia VL'!Q36</f>
        <v>9545.45</v>
      </c>
      <c r="F38" s="155">
        <f t="shared" si="0"/>
        <v>116611.04492544997</v>
      </c>
    </row>
    <row r="39" spans="1:6" ht="15">
      <c r="A39" s="12" t="s">
        <v>159</v>
      </c>
      <c r="B39" s="13" t="s">
        <v>152</v>
      </c>
      <c r="C39" s="13" t="s">
        <v>121</v>
      </c>
      <c r="D39" s="154">
        <f>SUMIF('Phan tich KL VL,NC,M'!C$8:C$183,B39,'Phan tich KL VL,NC,M'!G$8:G$183)</f>
        <v>24</v>
      </c>
      <c r="E39" s="154">
        <f>'Gia VL'!Q37</f>
        <v>2400</v>
      </c>
      <c r="F39" s="155">
        <f t="shared" si="0"/>
        <v>57600</v>
      </c>
    </row>
    <row r="40" spans="1:6" ht="15">
      <c r="A40" s="12" t="s">
        <v>162</v>
      </c>
      <c r="B40" s="13" t="s">
        <v>140</v>
      </c>
      <c r="C40" s="13" t="s">
        <v>121</v>
      </c>
      <c r="D40" s="154">
        <f>SUMIF('Phan tich KL VL,NC,M'!C$8:C$183,B40,'Phan tich KL VL,NC,M'!G$8:G$183)</f>
        <v>8</v>
      </c>
      <c r="E40" s="154">
        <f>'Gia VL'!Q38</f>
        <v>2400</v>
      </c>
      <c r="F40" s="155">
        <f t="shared" si="0"/>
        <v>19200</v>
      </c>
    </row>
    <row r="41" spans="1:6" ht="15">
      <c r="A41" s="12" t="s">
        <v>165</v>
      </c>
      <c r="B41" s="13" t="s">
        <v>74</v>
      </c>
      <c r="C41" s="13" t="s">
        <v>75</v>
      </c>
      <c r="D41" s="154">
        <f>SUMIF('Phan tich KL VL,NC,M'!C$8:C$183,B41,'Phan tich KL VL,NC,M'!G$8:G$183)</f>
        <v>86</v>
      </c>
      <c r="E41" s="154">
        <f>'Gia VL'!Q39</f>
        <v>757452</v>
      </c>
      <c r="F41" s="155">
        <f t="shared" si="0"/>
        <v>65140872</v>
      </c>
    </row>
    <row r="42" spans="1:6" ht="15">
      <c r="A42" s="12" t="s">
        <v>169</v>
      </c>
      <c r="B42" s="13" t="s">
        <v>100</v>
      </c>
      <c r="C42" s="13" t="s">
        <v>19</v>
      </c>
      <c r="D42" s="154">
        <f>SUMIF('Phan tich KL VL,NC,M'!C$8:C$183,B42,'Phan tich KL VL,NC,M'!G$8:G$183)</f>
        <v>407.40000000000003</v>
      </c>
      <c r="E42" s="154">
        <f>ROUND('Gia VL'!Q40/1000,5)</f>
        <v>41.664</v>
      </c>
      <c r="F42" s="155">
        <f t="shared" si="0"/>
        <v>16973.913600000003</v>
      </c>
    </row>
    <row r="43" spans="1:6" ht="15">
      <c r="A43" s="12" t="s">
        <v>174</v>
      </c>
      <c r="B43" s="13" t="s">
        <v>94</v>
      </c>
      <c r="C43" s="13" t="s">
        <v>73</v>
      </c>
      <c r="D43" s="154">
        <f>SUMIF('Phan tich KL VL,NC,M'!C$8:C$183,B43,'Phan tich KL VL,NC,M'!G$8:G$183)</f>
        <v>2</v>
      </c>
      <c r="E43" s="154">
        <f>'Gia VL'!Q41</f>
        <v>17029950</v>
      </c>
      <c r="F43" s="155">
        <f t="shared" si="0"/>
        <v>34059900</v>
      </c>
    </row>
    <row r="44" spans="1:6" ht="15">
      <c r="A44" s="12" t="s">
        <v>180</v>
      </c>
      <c r="B44" s="13" t="s">
        <v>18</v>
      </c>
      <c r="C44" s="13" t="s">
        <v>19</v>
      </c>
      <c r="D44" s="154">
        <f>SUMIF('Phan tich KL VL,NC,M'!C$8:C$183,B44,'Phan tich KL VL,NC,M'!G$8:G$183)</f>
        <v>2195.8574999999996</v>
      </c>
      <c r="E44" s="154">
        <f>ROUND('Gia VL'!Q42/1000,5)</f>
        <v>1637.6775</v>
      </c>
      <c r="F44" s="155">
        <f t="shared" si="0"/>
        <v>3596106.4209562493</v>
      </c>
    </row>
    <row r="45" spans="1:6" ht="15">
      <c r="A45" s="12" t="s">
        <v>183</v>
      </c>
      <c r="B45" s="13" t="s">
        <v>31</v>
      </c>
      <c r="C45" s="13" t="s">
        <v>19</v>
      </c>
      <c r="D45" s="154">
        <f>SUMIF('Phan tich KL VL,NC,M'!C$8:C$183,B45,'Phan tich KL VL,NC,M'!G$8:G$183)</f>
        <v>12611.579499999998</v>
      </c>
      <c r="E45" s="154">
        <f>ROUND('Gia VL'!Q44/1000,5)</f>
        <v>1701.3145</v>
      </c>
      <c r="F45" s="155">
        <f t="shared" si="0"/>
        <v>21456263.071252745</v>
      </c>
    </row>
    <row r="46" spans="1:6" ht="15">
      <c r="A46" s="12" t="s">
        <v>186</v>
      </c>
      <c r="B46" s="13" t="s">
        <v>95</v>
      </c>
      <c r="C46" s="13" t="s">
        <v>73</v>
      </c>
      <c r="D46" s="154">
        <f>SUMIF('Phan tich KL VL,NC,M'!C$8:C$183,B46,'Phan tich KL VL,NC,M'!G$8:G$183)</f>
        <v>2</v>
      </c>
      <c r="E46" s="154">
        <f>'Gia VL'!Q46</f>
        <v>1070765</v>
      </c>
      <c r="F46" s="155">
        <f t="shared" si="0"/>
        <v>2141530</v>
      </c>
    </row>
    <row r="47" spans="1:6" ht="15">
      <c r="A47" s="12" t="s">
        <v>189</v>
      </c>
      <c r="B47" s="13" t="s">
        <v>137</v>
      </c>
      <c r="C47" s="13" t="s">
        <v>103</v>
      </c>
      <c r="D47" s="154">
        <f>SUMIF('Phan tich KL VL,NC,M'!C$8:C$183,B47,'Phan tich KL VL,NC,M'!G$8:G$183)</f>
        <v>55.2</v>
      </c>
      <c r="E47" s="154">
        <f>'Gia VL'!Q47</f>
        <v>7800</v>
      </c>
      <c r="F47" s="155">
        <f t="shared" si="0"/>
        <v>430560</v>
      </c>
    </row>
    <row r="48" spans="1:6" ht="15">
      <c r="A48" s="12" t="s">
        <v>191</v>
      </c>
      <c r="B48" s="13" t="s">
        <v>46</v>
      </c>
      <c r="C48" s="13" t="s">
        <v>19</v>
      </c>
      <c r="D48" s="154">
        <f>SUMIF('Phan tich KL VL,NC,M'!C$8:C$183,B48,'Phan tich KL VL,NC,M'!G$8:G$183)</f>
        <v>40.248</v>
      </c>
      <c r="E48" s="154">
        <f>ROUND('Gia VL'!Q48/1000,5)</f>
        <v>16350</v>
      </c>
      <c r="F48" s="155">
        <f t="shared" si="0"/>
        <v>658054.7999999999</v>
      </c>
    </row>
    <row r="49" spans="1:6" ht="15">
      <c r="A49" s="12" t="s">
        <v>193</v>
      </c>
      <c r="B49" s="13" t="s">
        <v>38</v>
      </c>
      <c r="C49" s="13" t="s">
        <v>21</v>
      </c>
      <c r="D49" s="154">
        <f>SUMIF('Phan tich KL VL,NC,M'!C$8:C$183,B49,'Phan tich KL VL,NC,M'!G$8:G$183)</f>
        <v>5.285227999999999</v>
      </c>
      <c r="E49" s="154">
        <f>'Gia VL'!Q49</f>
        <v>387055.6</v>
      </c>
      <c r="F49" s="155">
        <f t="shared" si="0"/>
        <v>2045677.0946767996</v>
      </c>
    </row>
    <row r="50" spans="1:6" ht="15">
      <c r="A50" s="12" t="s">
        <v>198</v>
      </c>
      <c r="B50" s="13" t="s">
        <v>32</v>
      </c>
      <c r="C50" s="13" t="s">
        <v>21</v>
      </c>
      <c r="D50" s="154">
        <f>SUMIF('Phan tich KL VL,NC,M'!C$8:C$183,B50,'Phan tich KL VL,NC,M'!G$8:G$183)</f>
        <v>47.92961499999999</v>
      </c>
      <c r="E50" s="154">
        <f>'Gia VL'!Q54</f>
        <v>377964.6</v>
      </c>
      <c r="F50" s="155">
        <f t="shared" si="0"/>
        <v>18115697.761628997</v>
      </c>
    </row>
    <row r="51" spans="1:6" ht="15">
      <c r="A51" s="12" t="s">
        <v>200</v>
      </c>
      <c r="B51" s="13" t="s">
        <v>22</v>
      </c>
      <c r="C51" s="13" t="s">
        <v>21</v>
      </c>
      <c r="D51" s="154">
        <f>SUMIF('Phan tich KL VL,NC,M'!C$8:C$183,B51,'Phan tich KL VL,NC,M'!G$8:G$183)</f>
        <v>10.308015</v>
      </c>
      <c r="E51" s="154">
        <f>'Gia VL'!Q59</f>
        <v>323419.6</v>
      </c>
      <c r="F51" s="155">
        <f t="shared" si="0"/>
        <v>3333814.0880939993</v>
      </c>
    </row>
    <row r="52" spans="1:6" ht="15">
      <c r="A52" s="12" t="s">
        <v>202</v>
      </c>
      <c r="B52" s="13" t="s">
        <v>172</v>
      </c>
      <c r="C52" s="13" t="s">
        <v>58</v>
      </c>
      <c r="D52" s="154">
        <f>SUMIF('Phan tich KL VL,NC,M'!C$8:C$183,B52,'Phan tich KL VL,NC,M'!G$8:G$183)</f>
        <v>74</v>
      </c>
      <c r="E52" s="154">
        <f>'Gia VL'!Q64</f>
        <v>50000</v>
      </c>
      <c r="F52" s="155">
        <f t="shared" si="0"/>
        <v>3700000</v>
      </c>
    </row>
    <row r="53" spans="1:6" ht="15">
      <c r="A53" s="12" t="s">
        <v>205</v>
      </c>
      <c r="B53" s="13" t="s">
        <v>101</v>
      </c>
      <c r="C53" s="13" t="s">
        <v>75</v>
      </c>
      <c r="D53" s="154">
        <f>SUMIF('Phan tich KL VL,NC,M'!C$8:C$183,B53,'Phan tich KL VL,NC,M'!G$8:G$183)</f>
        <v>12</v>
      </c>
      <c r="E53" s="154">
        <f>'Gia VL'!Q65</f>
        <v>9250</v>
      </c>
      <c r="F53" s="155">
        <f t="shared" si="0"/>
        <v>111000</v>
      </c>
    </row>
    <row r="54" spans="1:6" ht="15">
      <c r="A54" s="12" t="s">
        <v>207</v>
      </c>
      <c r="B54" s="13" t="s">
        <v>129</v>
      </c>
      <c r="C54" s="13" t="s">
        <v>121</v>
      </c>
      <c r="D54" s="154">
        <f>SUMIF('Phan tich KL VL,NC,M'!C$8:C$183,B54,'Phan tich KL VL,NC,M'!G$8:G$183)</f>
        <v>16</v>
      </c>
      <c r="E54" s="154">
        <f>'Gia VL'!Q66</f>
        <v>14800</v>
      </c>
      <c r="F54" s="155">
        <f t="shared" si="0"/>
        <v>236800</v>
      </c>
    </row>
    <row r="55" spans="1:6" ht="15">
      <c r="A55" s="12" t="s">
        <v>209</v>
      </c>
      <c r="B55" s="13" t="s">
        <v>122</v>
      </c>
      <c r="C55" s="13" t="s">
        <v>121</v>
      </c>
      <c r="D55" s="154">
        <f>SUMIF('Phan tich KL VL,NC,M'!C$8:C$183,B55,'Phan tich KL VL,NC,M'!G$8:G$183)</f>
        <v>1</v>
      </c>
      <c r="E55" s="154">
        <f>'Gia VL'!Q67</f>
        <v>17500</v>
      </c>
      <c r="F55" s="155">
        <f t="shared" si="0"/>
        <v>17500</v>
      </c>
    </row>
    <row r="56" spans="1:6" ht="15">
      <c r="A56" s="12" t="s">
        <v>214</v>
      </c>
      <c r="B56" s="13" t="s">
        <v>89</v>
      </c>
      <c r="C56" s="13" t="s">
        <v>73</v>
      </c>
      <c r="D56" s="154">
        <f>SUMIF('Phan tich KL VL,NC,M'!C$8:C$183,B56,'Phan tich KL VL,NC,M'!G$8:G$183)</f>
        <v>86</v>
      </c>
      <c r="E56" s="154">
        <f>'Gia VL'!Q68</f>
        <v>5600468</v>
      </c>
      <c r="F56" s="155">
        <f t="shared" si="0"/>
        <v>481640248</v>
      </c>
    </row>
    <row r="57" spans="1:6" ht="15">
      <c r="A57" s="12" t="s">
        <v>217</v>
      </c>
      <c r="B57" s="13" t="s">
        <v>128</v>
      </c>
      <c r="C57" s="13" t="s">
        <v>103</v>
      </c>
      <c r="D57" s="154">
        <f>SUMIF('Phan tich KL VL,NC,M'!C$8:C$183,B57,'Phan tich KL VL,NC,M'!G$8:G$183)</f>
        <v>48</v>
      </c>
      <c r="E57" s="154">
        <f>'Gia VL'!Q69</f>
        <v>29300</v>
      </c>
      <c r="F57" s="155">
        <f t="shared" si="0"/>
        <v>1406400</v>
      </c>
    </row>
    <row r="58" spans="1:6" ht="15">
      <c r="A58" s="12" t="s">
        <v>0</v>
      </c>
      <c r="B58" s="13" t="s">
        <v>0</v>
      </c>
      <c r="C58" s="13" t="s">
        <v>0</v>
      </c>
      <c r="D58" s="154">
        <f>SUMIF('Phan tich KL VL,NC,M'!C$8:C$183,B58,'Phan tich KL VL,NC,M'!G$8:G$183)</f>
        <v>0</v>
      </c>
      <c r="E58" s="154">
        <v>0</v>
      </c>
      <c r="F58" s="155"/>
    </row>
    <row r="59" spans="1:6" ht="15.75">
      <c r="A59" s="8" t="s">
        <v>0</v>
      </c>
      <c r="B59" s="9" t="s">
        <v>460</v>
      </c>
      <c r="C59" s="9" t="s">
        <v>0</v>
      </c>
      <c r="D59" s="152">
        <f>SUMIF('Phan tich KL VL,NC,M'!C$8:C$183,B59,'Phan tich KL VL,NC,M'!G$8:G$183)</f>
        <v>0</v>
      </c>
      <c r="E59" s="152">
        <v>0</v>
      </c>
      <c r="F59" s="153">
        <f>SUM(F60:F64)</f>
        <v>122809627.52453922</v>
      </c>
    </row>
    <row r="60" spans="1:6" ht="15">
      <c r="A60" s="12" t="s">
        <v>0</v>
      </c>
      <c r="B60" s="13" t="s">
        <v>0</v>
      </c>
      <c r="C60" s="13" t="s">
        <v>0</v>
      </c>
      <c r="D60" s="154">
        <f>SUMIF('Phan tich KL VL,NC,M'!C$8:C$183,B60,'Phan tich KL VL,NC,M'!G$8:G$183)</f>
        <v>0</v>
      </c>
      <c r="E60" s="154">
        <v>0</v>
      </c>
      <c r="F60" s="155"/>
    </row>
    <row r="61" spans="1:6" ht="15">
      <c r="A61" s="12" t="s">
        <v>473</v>
      </c>
      <c r="B61" s="13" t="s">
        <v>7</v>
      </c>
      <c r="C61" s="13" t="s">
        <v>8</v>
      </c>
      <c r="D61" s="154">
        <f>SUMIF('Phan tich KL VL,NC,M'!C$8:C$183,B61,'Phan tich KL VL,NC,M'!G$8:G$183)</f>
        <v>90.941076</v>
      </c>
      <c r="E61" s="154">
        <f>'Gia NC,CM'!P8</f>
        <v>218559.2</v>
      </c>
      <c r="F61" s="155">
        <f>D61*E61</f>
        <v>19876008.8176992</v>
      </c>
    </row>
    <row r="62" spans="1:6" ht="15">
      <c r="A62" s="12" t="s">
        <v>472</v>
      </c>
      <c r="B62" s="13" t="s">
        <v>24</v>
      </c>
      <c r="C62" s="13" t="s">
        <v>8</v>
      </c>
      <c r="D62" s="154">
        <f>SUMIF('Phan tich KL VL,NC,M'!C$8:C$183,B62,'Phan tich KL VL,NC,M'!G$8:G$183)</f>
        <v>83.7828</v>
      </c>
      <c r="E62" s="154">
        <f>'Gia NC,CM'!P9</f>
        <v>230630.3</v>
      </c>
      <c r="F62" s="155">
        <f>D62*E62</f>
        <v>19322852.298839998</v>
      </c>
    </row>
    <row r="63" spans="1:6" ht="15">
      <c r="A63" s="12" t="s">
        <v>471</v>
      </c>
      <c r="B63" s="13" t="s">
        <v>47</v>
      </c>
      <c r="C63" s="13" t="s">
        <v>8</v>
      </c>
      <c r="D63" s="154">
        <f>SUMIF('Phan tich KL VL,NC,M'!C$8:C$183,B63,'Phan tich KL VL,NC,M'!G$8:G$183)</f>
        <v>331.52564000000007</v>
      </c>
      <c r="E63" s="154">
        <f>'Gia NC,CM'!P10</f>
        <v>252200</v>
      </c>
      <c r="F63" s="155">
        <f>D63*E63</f>
        <v>83610766.40800002</v>
      </c>
    </row>
    <row r="64" spans="1:6" ht="15">
      <c r="A64" s="12" t="s">
        <v>0</v>
      </c>
      <c r="B64" s="13" t="s">
        <v>0</v>
      </c>
      <c r="C64" s="13" t="s">
        <v>0</v>
      </c>
      <c r="D64" s="154">
        <f>SUMIF('Phan tich KL VL,NC,M'!C$8:C$183,B64,'Phan tich KL VL,NC,M'!G$8:G$183)</f>
        <v>0</v>
      </c>
      <c r="E64" s="154">
        <v>0</v>
      </c>
      <c r="F64" s="155"/>
    </row>
    <row r="65" spans="1:6" ht="15.75">
      <c r="A65" s="8" t="s">
        <v>0</v>
      </c>
      <c r="B65" s="9" t="s">
        <v>459</v>
      </c>
      <c r="C65" s="9" t="s">
        <v>0</v>
      </c>
      <c r="D65" s="152">
        <f>SUMIF('Phan tich KL VL,NC,M'!C$8:C$183,B65,'Phan tich KL VL,NC,M'!G$8:G$183)</f>
        <v>0</v>
      </c>
      <c r="E65" s="152">
        <v>0</v>
      </c>
      <c r="F65" s="153">
        <f>SUM(F66:F78)</f>
        <v>84715367.50546208</v>
      </c>
    </row>
    <row r="66" spans="1:6" ht="15">
      <c r="A66" s="12" t="s">
        <v>0</v>
      </c>
      <c r="B66" s="13" t="s">
        <v>0</v>
      </c>
      <c r="C66" s="13" t="s">
        <v>0</v>
      </c>
      <c r="D66" s="154">
        <f>SUMIF('Phan tich KL VL,NC,M'!C$8:C$183,B66,'Phan tich KL VL,NC,M'!G$8:G$183)</f>
        <v>0</v>
      </c>
      <c r="E66" s="154">
        <v>0</v>
      </c>
      <c r="F66" s="155"/>
    </row>
    <row r="67" spans="1:6" ht="15">
      <c r="A67" s="12" t="s">
        <v>470</v>
      </c>
      <c r="B67" s="13" t="s">
        <v>59</v>
      </c>
      <c r="C67" s="13" t="s">
        <v>10</v>
      </c>
      <c r="D67" s="154">
        <f>SUMIF('Phan tich KL VL,NC,M'!C$8:C$183,B67,'Phan tich KL VL,NC,M'!G$8:G$183)</f>
        <v>11.100000000000001</v>
      </c>
      <c r="E67" s="154">
        <f>'Gia NC,CM'!P11</f>
        <v>1445506.2</v>
      </c>
      <c r="F67" s="155">
        <f aca="true" t="shared" si="1" ref="F67:F75">D67*E67</f>
        <v>16045118.820000002</v>
      </c>
    </row>
    <row r="68" spans="1:6" ht="15">
      <c r="A68" s="12" t="s">
        <v>469</v>
      </c>
      <c r="B68" s="13" t="s">
        <v>104</v>
      </c>
      <c r="C68" s="13" t="s">
        <v>10</v>
      </c>
      <c r="D68" s="154">
        <f>SUMIF('Phan tich KL VL,NC,M'!C$8:C$183,B68,'Phan tich KL VL,NC,M'!G$8:G$183)</f>
        <v>1.7999999999999998</v>
      </c>
      <c r="E68" s="154">
        <f>'Gia NC,CM'!P12</f>
        <v>409418.3</v>
      </c>
      <c r="F68" s="155">
        <f t="shared" si="1"/>
        <v>736952.94</v>
      </c>
    </row>
    <row r="69" spans="1:6" ht="15">
      <c r="A69" s="12" t="s">
        <v>468</v>
      </c>
      <c r="B69" s="13" t="s">
        <v>25</v>
      </c>
      <c r="C69" s="13" t="s">
        <v>10</v>
      </c>
      <c r="D69" s="154">
        <f>SUMIF('Phan tich KL VL,NC,M'!C$8:C$183,B69,'Phan tich KL VL,NC,M'!G$8:G$183)</f>
        <v>6.6082</v>
      </c>
      <c r="E69" s="154">
        <f>'Gia NC,CM'!P13</f>
        <v>318885.3</v>
      </c>
      <c r="F69" s="155">
        <f t="shared" si="1"/>
        <v>2107257.83946</v>
      </c>
    </row>
    <row r="70" spans="1:6" ht="15">
      <c r="A70" s="12" t="s">
        <v>467</v>
      </c>
      <c r="B70" s="13" t="s">
        <v>9</v>
      </c>
      <c r="C70" s="13" t="s">
        <v>10</v>
      </c>
      <c r="D70" s="154">
        <f>SUMIF('Phan tich KL VL,NC,M'!C$8:C$183,B70,'Phan tich KL VL,NC,M'!G$8:G$183)</f>
        <v>3.6289032000000003</v>
      </c>
      <c r="E70" s="154">
        <f>'Gia NC,CM'!P14</f>
        <v>1786191.9</v>
      </c>
      <c r="F70" s="155">
        <f t="shared" si="1"/>
        <v>6481917.50172408</v>
      </c>
    </row>
    <row r="71" spans="1:6" ht="15">
      <c r="A71" s="12" t="s">
        <v>466</v>
      </c>
      <c r="B71" s="13" t="s">
        <v>26</v>
      </c>
      <c r="C71" s="13" t="s">
        <v>10</v>
      </c>
      <c r="D71" s="154">
        <f>SUMIF('Phan tich KL VL,NC,M'!C$8:C$183,B71,'Phan tich KL VL,NC,M'!G$8:G$183)</f>
        <v>0.9878999999999999</v>
      </c>
      <c r="E71" s="154">
        <f>'Gia NC,CM'!P15</f>
        <v>270954</v>
      </c>
      <c r="F71" s="155">
        <f t="shared" si="1"/>
        <v>267675.4566</v>
      </c>
    </row>
    <row r="72" spans="1:6" ht="15">
      <c r="A72" s="12" t="s">
        <v>465</v>
      </c>
      <c r="B72" s="13" t="s">
        <v>33</v>
      </c>
      <c r="C72" s="13" t="s">
        <v>10</v>
      </c>
      <c r="D72" s="154">
        <f>SUMIF('Phan tich KL VL,NC,M'!C$8:C$183,B72,'Phan tich KL VL,NC,M'!G$8:G$183)</f>
        <v>5.20294</v>
      </c>
      <c r="E72" s="154">
        <f>'Gia NC,CM'!P16</f>
        <v>274861.2</v>
      </c>
      <c r="F72" s="155">
        <f t="shared" si="1"/>
        <v>1430086.331928</v>
      </c>
    </row>
    <row r="73" spans="1:6" ht="15">
      <c r="A73" s="12" t="s">
        <v>464</v>
      </c>
      <c r="B73" s="13" t="s">
        <v>52</v>
      </c>
      <c r="C73" s="13" t="s">
        <v>10</v>
      </c>
      <c r="D73" s="154">
        <f>SUMIF('Phan tich KL VL,NC,M'!C$8:C$183,B73,'Phan tich KL VL,NC,M'!G$8:G$183)</f>
        <v>12.3079</v>
      </c>
      <c r="E73" s="154">
        <f>'Gia NC,CM'!P17</f>
        <v>377262.5</v>
      </c>
      <c r="F73" s="155">
        <f t="shared" si="1"/>
        <v>4643309.12375</v>
      </c>
    </row>
    <row r="74" spans="1:6" ht="15">
      <c r="A74" s="12" t="s">
        <v>463</v>
      </c>
      <c r="B74" s="13" t="s">
        <v>76</v>
      </c>
      <c r="C74" s="13" t="s">
        <v>10</v>
      </c>
      <c r="D74" s="154">
        <f>SUMIF('Phan tich KL VL,NC,M'!C$8:C$183,B74,'Phan tich KL VL,NC,M'!G$8:G$183)</f>
        <v>34.055</v>
      </c>
      <c r="E74" s="154">
        <f>'Gia NC,CM'!P18</f>
        <v>1516322.4</v>
      </c>
      <c r="F74" s="155">
        <f t="shared" si="1"/>
        <v>51638359.331999995</v>
      </c>
    </row>
    <row r="75" spans="1:6" ht="15">
      <c r="A75" s="12" t="s">
        <v>462</v>
      </c>
      <c r="B75" s="13" t="s">
        <v>105</v>
      </c>
      <c r="C75" s="13" t="s">
        <v>10</v>
      </c>
      <c r="D75" s="154">
        <f>SUMIF('Phan tich KL VL,NC,M'!C$8:C$183,B75,'Phan tich KL VL,NC,M'!G$8:G$183)</f>
        <v>0.8999999999999999</v>
      </c>
      <c r="E75" s="154">
        <f>'Gia NC,CM'!P19</f>
        <v>1516322.4</v>
      </c>
      <c r="F75" s="155">
        <f t="shared" si="1"/>
        <v>1364690.1599999997</v>
      </c>
    </row>
    <row r="76" spans="1:6" ht="15">
      <c r="A76" s="12" t="s">
        <v>0</v>
      </c>
      <c r="B76" s="13" t="s">
        <v>0</v>
      </c>
      <c r="C76" s="13" t="s">
        <v>0</v>
      </c>
      <c r="D76" s="154">
        <f>SUMIF('Phan tich KL VL,NC,M'!C$8:C$183,B76,'Phan tich KL VL,NC,M'!G$8:G$183)</f>
        <v>0</v>
      </c>
      <c r="E76" s="154">
        <v>0</v>
      </c>
      <c r="F76" s="155"/>
    </row>
    <row r="77" spans="1:6" ht="15.75">
      <c r="A77" s="8" t="s">
        <v>0</v>
      </c>
      <c r="B77" s="9" t="s">
        <v>173</v>
      </c>
      <c r="C77" s="9" t="s">
        <v>0</v>
      </c>
      <c r="D77" s="152">
        <f>SUMIF('Phan tich KL VL,NC,M'!C$183:C$253,B77,'Phan tich KL VL,NC,M'!G$183:G$253)</f>
        <v>0</v>
      </c>
      <c r="E77" s="152">
        <v>0</v>
      </c>
      <c r="F77" s="153"/>
    </row>
    <row r="78" spans="1:6" ht="15">
      <c r="A78" s="12" t="s">
        <v>0</v>
      </c>
      <c r="B78" s="13" t="s">
        <v>0</v>
      </c>
      <c r="C78" s="13" t="s">
        <v>0</v>
      </c>
      <c r="D78" s="154">
        <f>SUMIF('Phan tich KL VL,NC,M'!C$183:C$253,B78,'Phan tich KL VL,NC,M'!G$183:G$253)</f>
        <v>0</v>
      </c>
      <c r="E78" s="154">
        <v>0</v>
      </c>
      <c r="F78" s="155"/>
    </row>
    <row r="79" spans="1:6" ht="15.75">
      <c r="A79" s="8" t="s">
        <v>0</v>
      </c>
      <c r="B79" s="9" t="s">
        <v>461</v>
      </c>
      <c r="C79" s="9" t="s">
        <v>0</v>
      </c>
      <c r="D79" s="152">
        <f>SUMIF('Phan tich KL VL,NC,M'!C$183:C$253,B79,'Phan tich KL VL,NC,M'!G$183:G$253)</f>
        <v>0</v>
      </c>
      <c r="E79" s="152">
        <v>0</v>
      </c>
      <c r="F79" s="153">
        <f>SUM(F80:F81)</f>
        <v>0</v>
      </c>
    </row>
    <row r="80" spans="1:6" ht="15">
      <c r="A80" s="12" t="s">
        <v>0</v>
      </c>
      <c r="B80" s="13" t="s">
        <v>0</v>
      </c>
      <c r="C80" s="13" t="s">
        <v>0</v>
      </c>
      <c r="D80" s="154">
        <f>SUMIF('Phan tich KL VL,NC,M'!C$183:C$253,B80,'Phan tich KL VL,NC,M'!G$183:G$253)</f>
        <v>0</v>
      </c>
      <c r="E80" s="154">
        <v>0</v>
      </c>
      <c r="F80" s="155"/>
    </row>
    <row r="81" spans="1:6" ht="15">
      <c r="A81" s="12" t="s">
        <v>0</v>
      </c>
      <c r="B81" s="13" t="s">
        <v>0</v>
      </c>
      <c r="C81" s="13" t="s">
        <v>0</v>
      </c>
      <c r="D81" s="154">
        <f>SUMIF('Phan tich KL VL,NC,M'!C$183:C$253,B81,'Phan tich KL VL,NC,M'!G$183:G$253)</f>
        <v>0</v>
      </c>
      <c r="E81" s="154">
        <v>0</v>
      </c>
      <c r="F81" s="155"/>
    </row>
    <row r="82" spans="1:6" ht="15.75">
      <c r="A82" s="8" t="s">
        <v>0</v>
      </c>
      <c r="B82" s="9" t="s">
        <v>460</v>
      </c>
      <c r="C82" s="9" t="s">
        <v>0</v>
      </c>
      <c r="D82" s="152">
        <f>SUMIF('Phan tich KL VL,NC,M'!C$183:C$253,B82,'Phan tich KL VL,NC,M'!G$183:G$253)</f>
        <v>0</v>
      </c>
      <c r="E82" s="152">
        <v>0</v>
      </c>
      <c r="F82" s="153" t="e">
        <f>SUM(F83:F85)</f>
        <v>#REF!</v>
      </c>
    </row>
    <row r="83" spans="1:6" ht="15">
      <c r="A83" s="12" t="s">
        <v>0</v>
      </c>
      <c r="B83" s="13" t="s">
        <v>0</v>
      </c>
      <c r="C83" s="13" t="s">
        <v>0</v>
      </c>
      <c r="D83" s="154">
        <f>SUMIF('Phan tich KL VL,NC,M'!C$183:C$253,B83,'Phan tich KL VL,NC,M'!G$183:G$253)</f>
        <v>0</v>
      </c>
      <c r="E83" s="154">
        <v>0</v>
      </c>
      <c r="F83" s="155"/>
    </row>
    <row r="84" spans="1:6" ht="15">
      <c r="A84" s="12" t="s">
        <v>2</v>
      </c>
      <c r="B84" s="13" t="s">
        <v>7</v>
      </c>
      <c r="C84" s="13" t="s">
        <v>8</v>
      </c>
      <c r="D84" s="154" t="e">
        <f>SUMIF('Phan tich KL VL,NC,M'!C$183:C$253,B84,'Phan tich KL VL,NC,M'!G$183:G$253)</f>
        <v>#REF!</v>
      </c>
      <c r="E84" s="154">
        <f>'Gia NC,CM'!P8</f>
        <v>218559.2</v>
      </c>
      <c r="F84" s="155" t="e">
        <f>D84*E84</f>
        <v>#REF!</v>
      </c>
    </row>
    <row r="85" spans="1:6" ht="15">
      <c r="A85" s="12" t="s">
        <v>0</v>
      </c>
      <c r="B85" s="13" t="s">
        <v>0</v>
      </c>
      <c r="C85" s="13" t="s">
        <v>0</v>
      </c>
      <c r="D85" s="154">
        <f>SUMIF('Phan tich KL VL,NC,M'!C$183:C$253,B85,'Phan tich KL VL,NC,M'!G$183:G$253)</f>
        <v>0</v>
      </c>
      <c r="E85" s="154">
        <v>0</v>
      </c>
      <c r="F85" s="155"/>
    </row>
    <row r="86" spans="1:6" ht="15.75">
      <c r="A86" s="8" t="s">
        <v>0</v>
      </c>
      <c r="B86" s="9" t="s">
        <v>459</v>
      </c>
      <c r="C86" s="9" t="s">
        <v>0</v>
      </c>
      <c r="D86" s="152">
        <f>SUMIF('Phan tich KL VL,NC,M'!C$183:C$253,B86,'Phan tich KL VL,NC,M'!G$183:G$253)</f>
        <v>0</v>
      </c>
      <c r="E86" s="152">
        <v>0</v>
      </c>
      <c r="F86" s="153" t="e">
        <f>SUM(F87:F89)</f>
        <v>#REF!</v>
      </c>
    </row>
    <row r="87" spans="1:6" ht="15">
      <c r="A87" s="12" t="s">
        <v>0</v>
      </c>
      <c r="B87" s="13" t="s">
        <v>0</v>
      </c>
      <c r="C87" s="13" t="s">
        <v>0</v>
      </c>
      <c r="D87" s="154">
        <f>SUMIF('Phan tich KL VL,NC,M'!C$183:C$253,B87,'Phan tich KL VL,NC,M'!G$183:G$253)</f>
        <v>0</v>
      </c>
      <c r="E87" s="154">
        <v>0</v>
      </c>
      <c r="F87" s="155"/>
    </row>
    <row r="88" spans="1:6" ht="15">
      <c r="A88" s="12" t="s">
        <v>11</v>
      </c>
      <c r="B88" s="13" t="s">
        <v>179</v>
      </c>
      <c r="C88" s="13" t="s">
        <v>10</v>
      </c>
      <c r="D88" s="154" t="e">
        <f>SUMIF('Phan tich KL VL,NC,M'!C$183:C$253,B88,'Phan tich KL VL,NC,M'!G$183:G$253)</f>
        <v>#REF!</v>
      </c>
      <c r="E88" s="154">
        <f>'Gia NC,CM'!P20</f>
        <v>1738258.8</v>
      </c>
      <c r="F88" s="155" t="e">
        <f>D88*E88</f>
        <v>#REF!</v>
      </c>
    </row>
    <row r="89" spans="1:6" ht="15.75" thickBot="1">
      <c r="A89" s="16" t="s">
        <v>14</v>
      </c>
      <c r="B89" s="17" t="s">
        <v>197</v>
      </c>
      <c r="C89" s="17" t="s">
        <v>10</v>
      </c>
      <c r="D89" s="156" t="e">
        <f>SUMIF('Phan tich KL VL,NC,M'!C$183:C$253,B89,'Phan tich KL VL,NC,M'!G$183:G$253)</f>
        <v>#REF!</v>
      </c>
      <c r="E89" s="156">
        <f>'Gia NC,CM'!P21</f>
        <v>1271517.9</v>
      </c>
      <c r="F89" s="157" t="e">
        <f>D89*E89</f>
        <v>#REF!</v>
      </c>
    </row>
  </sheetData>
  <sheetProtection/>
  <mergeCells count="4">
    <mergeCell ref="A1:F1"/>
    <mergeCell ref="A3:F3"/>
    <mergeCell ref="A4:F4"/>
    <mergeCell ref="A5:F5"/>
  </mergeCells>
  <printOptions horizontalCentered="1"/>
  <pageMargins left="0.75" right="0.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2023-09-10T08:17:15Z</cp:lastPrinted>
  <dcterms:created xsi:type="dcterms:W3CDTF">2023-08-19T16:01:52Z</dcterms:created>
  <dcterms:modified xsi:type="dcterms:W3CDTF">2023-09-15T01:29:58Z</dcterms:modified>
  <cp:category/>
  <cp:version/>
  <cp:contentType/>
  <cp:contentStatus/>
</cp:coreProperties>
</file>