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030" tabRatio="806" firstSheet="3" activeTab="3"/>
  </bookViews>
  <sheets>
    <sheet name="Nguyen nhan tang giam" sheetId="1" state="hidden" r:id="rId1"/>
    <sheet name="So sanh" sheetId="2" state="hidden" r:id="rId2"/>
    <sheet name="foxz" sheetId="3" state="veryHidden" r:id="rId3"/>
    <sheet name="LCNT" sheetId="4" r:id="rId4"/>
    <sheet name="Tong du toan" sheetId="5" r:id="rId5"/>
    <sheet name="CP Xay lap" sheetId="6" r:id="rId6"/>
    <sheet name="Du toan chi tiet" sheetId="7" r:id="rId7"/>
    <sheet name="Phan tich don gia" sheetId="8" r:id="rId8"/>
    <sheet name="Gia NC,CM" sheetId="9" r:id="rId9"/>
    <sheet name="Gia VL" sheetId="10" r:id="rId10"/>
    <sheet name="KL,Tien luong" sheetId="11" state="hidden" r:id="rId11"/>
    <sheet name="Tong hop KL VL,NC,M" sheetId="12" state="hidden" r:id="rId12"/>
    <sheet name="Phan tich KL VL,NC,M" sheetId="13" state="hidden" r:id="rId13"/>
  </sheets>
  <externalReferences>
    <externalReference r:id="rId16"/>
    <externalReference r:id="rId17"/>
  </externalReferences>
  <definedNames>
    <definedName name="_xlnm.Print_Titles" localSheetId="5">'CP Xay lap'!$6:$6</definedName>
    <definedName name="_xlnm.Print_Titles" localSheetId="6">'Du toan chi tiet'!$6:$7</definedName>
    <definedName name="_xlnm.Print_Titles" localSheetId="8">'Gia NC,CM'!$7:$7</definedName>
    <definedName name="_xlnm.Print_Titles" localSheetId="9">'Gia VL'!$7:$7</definedName>
    <definedName name="_xlnm.Print_Titles" localSheetId="10">'KL,Tien luong'!$7:$7</definedName>
    <definedName name="_xlnm.Print_Titles" localSheetId="7">'Phan tich don gia'!$6:$6</definedName>
    <definedName name="_xlnm.Print_Titles" localSheetId="12">'Phan tich KL VL,NC,M'!$7:$7</definedName>
    <definedName name="_xlnm.Print_Titles" localSheetId="4">'Tong du toan'!$11:$11</definedName>
    <definedName name="_xlnm.Print_Titles" localSheetId="11">'Tong hop KL VL,NC,M'!$7:$7</definedName>
  </definedNames>
  <calcPr fullCalcOnLoad="1"/>
</workbook>
</file>

<file path=xl/comments10.xml><?xml version="1.0" encoding="utf-8"?>
<comments xmlns="http://schemas.openxmlformats.org/spreadsheetml/2006/main">
  <authors>
    <author>Windows User</author>
  </authors>
  <commentList>
    <comment ref="Q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T6/2023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Tahoma"/>
            <family val="2"/>
          </rPr>
          <t>gia thang 6/2023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<sst xmlns="http://schemas.openxmlformats.org/spreadsheetml/2006/main" count="4771" uniqueCount="677">
  <si>
    <t/>
  </si>
  <si>
    <t>*\1- H¹ng môc: Hè thu tho¸t n­íc m­a</t>
  </si>
  <si>
    <t>1</t>
  </si>
  <si>
    <t>AB.25103</t>
  </si>
  <si>
    <t>§µo mãng hè thu b»ng m¸y ®µo &lt;= 0.4m3</t>
  </si>
  <si>
    <t>1 m3</t>
  </si>
  <si>
    <t>ChiÒu réng mãng &lt;= 6m, §Êt cÊp III</t>
  </si>
  <si>
    <t xml:space="preserve">   - Nh©n c«ng bËc 3.0/7N1</t>
  </si>
  <si>
    <t>C«ng</t>
  </si>
  <si>
    <t xml:space="preserve">   - M¸y ®µo 0.4m3</t>
  </si>
  <si>
    <t>Ca</t>
  </si>
  <si>
    <t>2</t>
  </si>
  <si>
    <t>AB.11313</t>
  </si>
  <si>
    <t>§µo mãng häng thu n­íc</t>
  </si>
  <si>
    <t>ChiÒu s©u &lt;=1m , §Êt cÊp III</t>
  </si>
  <si>
    <t>3</t>
  </si>
  <si>
    <t>AB.65130</t>
  </si>
  <si>
    <t>§¾p ®Êt c«ng tr×nh = ®Çm ®Êt cÇm tay 70kg</t>
  </si>
  <si>
    <t>§é chÆt yªu cÇu K=0.95</t>
  </si>
  <si>
    <t xml:space="preserve">   - M¸y ®Çm ®Êt cÇm tay 70kg</t>
  </si>
  <si>
    <t>4</t>
  </si>
  <si>
    <t>AK.98110</t>
  </si>
  <si>
    <t>CÊp phèi ®¸ d¨m Dmax37.5mm ®Öm mãng</t>
  </si>
  <si>
    <t>(ktra nhí xãa c¸t nÕu ®óng)</t>
  </si>
  <si>
    <t xml:space="preserve">   - CP§D Dmax37.5mm</t>
  </si>
  <si>
    <t>m3</t>
  </si>
  <si>
    <t xml:space="preserve">   - C¸t</t>
  </si>
  <si>
    <t xml:space="preserve">   - Nh©n c«ng bËc 4.0/7N2</t>
  </si>
  <si>
    <t>5</t>
  </si>
  <si>
    <t>AF.17222</t>
  </si>
  <si>
    <t>Bª t«ng hè thu</t>
  </si>
  <si>
    <t>V÷a bª t«ng ®¸ 2x4 M200</t>
  </si>
  <si>
    <t xml:space="preserve">   - Xi m¨ng PCB40</t>
  </si>
  <si>
    <t>Kg</t>
  </si>
  <si>
    <t xml:space="preserve">   - C¸t vµng</t>
  </si>
  <si>
    <t xml:space="preserve">   - §¸ d¨m 2x4</t>
  </si>
  <si>
    <t xml:space="preserve">   - N­íc</t>
  </si>
  <si>
    <t xml:space="preserve">   - Nh©n c«ng bËc 3.5/7N2</t>
  </si>
  <si>
    <t xml:space="preserve">   - M¸y trén BT 250 l</t>
  </si>
  <si>
    <t xml:space="preserve">   - M¸y ®Çm dïi 1.5KW</t>
  </si>
  <si>
    <t>6</t>
  </si>
  <si>
    <t>AF.86211</t>
  </si>
  <si>
    <t>V¸n khu«n bª t«ng hè thu</t>
  </si>
  <si>
    <t>1 m2</t>
  </si>
  <si>
    <t xml:space="preserve">   - ThÐp tÊm</t>
  </si>
  <si>
    <t xml:space="preserve">   - ThÐp h×nh</t>
  </si>
  <si>
    <t xml:space="preserve">   - Cét chèng thÐp èng</t>
  </si>
  <si>
    <t xml:space="preserve">   - Que hµn</t>
  </si>
  <si>
    <t xml:space="preserve">   - M¸y hµn 23KW</t>
  </si>
  <si>
    <t xml:space="preserve">   - VËn th¨ng lång 3T</t>
  </si>
  <si>
    <t xml:space="preserve">   - CÈu th¸p 25T</t>
  </si>
  <si>
    <t>7</t>
  </si>
  <si>
    <t>AF.17213</t>
  </si>
  <si>
    <t>Bª t«ng gi»ng hè thu</t>
  </si>
  <si>
    <t>V÷a bª t«ng ®¸ 1x2 M250</t>
  </si>
  <si>
    <t xml:space="preserve">   - §¸ d¨m 1x2</t>
  </si>
  <si>
    <t>8</t>
  </si>
  <si>
    <t>AF.61511</t>
  </si>
  <si>
    <t>Gia c«ng cèt thÐp xµ, dÇm, gi»ng</t>
  </si>
  <si>
    <t>TÊn</t>
  </si>
  <si>
    <t>§/kÝnh cèt thÐp d&lt;=10 mm</t>
  </si>
  <si>
    <t xml:space="preserve">   - ThÐp trßn d&lt;=10mm</t>
  </si>
  <si>
    <t xml:space="preserve">   - D©y thÐp</t>
  </si>
  <si>
    <t xml:space="preserve">   - M¸y c¾t uèn cèt thÐp 5KW</t>
  </si>
  <si>
    <t>9</t>
  </si>
  <si>
    <t>V¸n khu«n BT gi»ng hè thu</t>
  </si>
  <si>
    <t>10</t>
  </si>
  <si>
    <t>AG.11413</t>
  </si>
  <si>
    <t>Bª t«ng tÊm ®an ®óc s½n v÷a 1x2 M250</t>
  </si>
  <si>
    <t>1  m3</t>
  </si>
  <si>
    <t xml:space="preserve">   - Nh©n c«ng bËc 3.0/7N2</t>
  </si>
  <si>
    <t>11</t>
  </si>
  <si>
    <t>AG.13231</t>
  </si>
  <si>
    <t>Gia c«ng cèt thÐp tÊm ®an ®óc s½n</t>
  </si>
  <si>
    <t>1 tÊn</t>
  </si>
  <si>
    <t xml:space="preserve">   - ThÐp trßn</t>
  </si>
  <si>
    <t>12</t>
  </si>
  <si>
    <t>AG.13221</t>
  </si>
  <si>
    <t>§/kÝnh cèt thÐp d&lt;=18 mm</t>
  </si>
  <si>
    <t xml:space="preserve">   - ThÐp trßn d&gt;10mm</t>
  </si>
  <si>
    <t>13</t>
  </si>
  <si>
    <t>AG.32511</t>
  </si>
  <si>
    <t>V¸n khu«n BT tÊm ®an ®óc s½n</t>
  </si>
  <si>
    <t>14</t>
  </si>
  <si>
    <t>AG.41610</t>
  </si>
  <si>
    <t>L¾p ®Æt tÊm ®an ®óc s½n</t>
  </si>
  <si>
    <t>1 c/kiÖn</t>
  </si>
  <si>
    <t xml:space="preserve">   - CÇn cÈu b¸nh h¬i 6T</t>
  </si>
  <si>
    <t>15</t>
  </si>
  <si>
    <t>AF.13213</t>
  </si>
  <si>
    <t>Bª t«ng häng thu n­íc</t>
  </si>
  <si>
    <t>16</t>
  </si>
  <si>
    <t>AF.82611</t>
  </si>
  <si>
    <t>V¸n khu«n bª t«ng häng thu n­íc</t>
  </si>
  <si>
    <t>17</t>
  </si>
  <si>
    <t>BB.41112</t>
  </si>
  <si>
    <t>L§ èng nhùa UPVC D250mm dµy 7.3mm</t>
  </si>
  <si>
    <t>1 m</t>
  </si>
  <si>
    <t xml:space="preserve">   - èng nhùa mb¸t 250mm dµy 7.3mm</t>
  </si>
  <si>
    <t>m</t>
  </si>
  <si>
    <t xml:space="preserve">   - Cån röa</t>
  </si>
  <si>
    <t>kg</t>
  </si>
  <si>
    <t xml:space="preserve">   - Nhùa d¸n</t>
  </si>
  <si>
    <t>18</t>
  </si>
  <si>
    <t>AB.66142</t>
  </si>
  <si>
    <t>§¾p c¸t xay = m¸y ®Çm ®Êt 70kg</t>
  </si>
  <si>
    <t>§é chÆt yªu cÇu K=0.90</t>
  </si>
  <si>
    <t xml:space="preserve">   - C¸t ®en</t>
  </si>
  <si>
    <t>19</t>
  </si>
  <si>
    <t>Bª t«ng tÊm ch¾n r¸c ®óc s½n v÷a 1x2 M250</t>
  </si>
  <si>
    <t>20</t>
  </si>
  <si>
    <t>Gia c«ng cèt thÐp tÊm ch¾n r¸c ®óc s½n</t>
  </si>
  <si>
    <t>§/kÝnh cèt thÐp d&lt;=18 mm Copy 12</t>
  </si>
  <si>
    <t>21</t>
  </si>
  <si>
    <t>V¸n khu«n BT tÊm ch¾n r¸c ®óc s½n</t>
  </si>
  <si>
    <t>22</t>
  </si>
  <si>
    <t>L¾p ®Æt tÊm ch¾n r¸c ®óc s½n</t>
  </si>
  <si>
    <t>*\2- H¹ng môc: Cèng däc tho¸t n­íc m­a</t>
  </si>
  <si>
    <t>23</t>
  </si>
  <si>
    <t>AL.22112</t>
  </si>
  <si>
    <t>C¾t mÆt ®­êng bª t«ng xi m¨ng hiÖn cã</t>
  </si>
  <si>
    <t>10 m</t>
  </si>
  <si>
    <t xml:space="preserve">   - L­íi c¾t D350</t>
  </si>
  <si>
    <t>C¸i</t>
  </si>
  <si>
    <t xml:space="preserve">   - M¸y c¾t bª t«ng 7.5KW</t>
  </si>
  <si>
    <t>24</t>
  </si>
  <si>
    <t>AB.31134</t>
  </si>
  <si>
    <t>§µo kÕt cÊu mÆt ®­êng hiÖn cã</t>
  </si>
  <si>
    <t xml:space="preserve">   - M¸y ®µo 1.25m3</t>
  </si>
  <si>
    <t xml:space="preserve">   - M¸y ñi 110CV</t>
  </si>
  <si>
    <t>25</t>
  </si>
  <si>
    <t>§µo mãng b»ng m¸y ®µo &lt;= 0.4m3</t>
  </si>
  <si>
    <t>§Êt cÊp III  Copy 1</t>
  </si>
  <si>
    <t>26</t>
  </si>
  <si>
    <t>§é chÆt yªu cÇu K=0.95 Copy 3</t>
  </si>
  <si>
    <t>27</t>
  </si>
  <si>
    <t>Copy 4</t>
  </si>
  <si>
    <t>28</t>
  </si>
  <si>
    <t>BB.13703</t>
  </si>
  <si>
    <t>L¾p ®Æt gèi èng D600mm</t>
  </si>
  <si>
    <t>1C¸i</t>
  </si>
  <si>
    <t xml:space="preserve">   - Khèi mãng bª t«ng d&lt;=600mm</t>
  </si>
  <si>
    <t>29</t>
  </si>
  <si>
    <t>BB.11231</t>
  </si>
  <si>
    <t>L¾p ®Æt èng cèng BTCT D600mm</t>
  </si>
  <si>
    <t>Lo¹i TT b¨ng ®­êng, ®o¹n èng dµi 2.5m</t>
  </si>
  <si>
    <t xml:space="preserve">   - èng bª t«ng D600mm, TT b¨ng ®­êng</t>
  </si>
  <si>
    <t xml:space="preserve">   - CÇn cÈu 6T</t>
  </si>
  <si>
    <t>30</t>
  </si>
  <si>
    <t>BB.11231a</t>
  </si>
  <si>
    <t>L¾p ®Æt èng cèng BTCT D600mm (nhí chia ®¬n gi¸ 2.5)</t>
  </si>
  <si>
    <t>Lo¹i TT vØa hÌ, ®o¹n èng dµi 2.5m</t>
  </si>
  <si>
    <t xml:space="preserve">   - èng bª t«ng D600mm, TT vØa hÌ</t>
  </si>
  <si>
    <t>31</t>
  </si>
  <si>
    <t>BB.13505</t>
  </si>
  <si>
    <t>Nèi èng BT b»ng PP x¶m</t>
  </si>
  <si>
    <t>1mèi nè</t>
  </si>
  <si>
    <t>§kÝnh èng 600mm</t>
  </si>
  <si>
    <t xml:space="preserve">   - Xi m¨ng PCB30</t>
  </si>
  <si>
    <t xml:space="preserve">   - V«i côc</t>
  </si>
  <si>
    <t xml:space="preserve">   - C¸t vµng Ml&gt;2</t>
  </si>
  <si>
    <t>32</t>
  </si>
  <si>
    <t>§µo hè trång c©y, ®Êt cÊp 3</t>
  </si>
  <si>
    <t>Copy 01</t>
  </si>
  <si>
    <t>33</t>
  </si>
  <si>
    <t>CX2.01.012</t>
  </si>
  <si>
    <t>Trång c©y bãng m¸t (c©y tËn dông)</t>
  </si>
  <si>
    <t>C©y</t>
  </si>
  <si>
    <t xml:space="preserve">   - C©y trång</t>
  </si>
  <si>
    <t xml:space="preserve">   - NÑp gç 0.03x0.05 dµi 0.3m</t>
  </si>
  <si>
    <t xml:space="preserve">   - Cäc chèng dµi bq 2.5m</t>
  </si>
  <si>
    <t xml:space="preserve">   - Bao bè</t>
  </si>
  <si>
    <t xml:space="preserve">   - §inh</t>
  </si>
  <si>
    <t xml:space="preserve">   - Ph©n h÷u c¬</t>
  </si>
  <si>
    <t xml:space="preserve">   - §Êt mµu trång c©y</t>
  </si>
  <si>
    <t xml:space="preserve">   - Nh©n c«ng bËc 3.5/7N1</t>
  </si>
  <si>
    <t>34</t>
  </si>
  <si>
    <t>CX2.01.031b</t>
  </si>
  <si>
    <t>B¶o d­ìng c©y xanh sau khi trång</t>
  </si>
  <si>
    <t>1c©y/90n</t>
  </si>
  <si>
    <t>35</t>
  </si>
  <si>
    <t>AF.15413</t>
  </si>
  <si>
    <t>Bª t«ng hoµn tr¶ mÆt ®­êng</t>
  </si>
  <si>
    <t xml:space="preserve">   - Gç lµm khe co gi·n</t>
  </si>
  <si>
    <t xml:space="preserve">   - Nhùa ®­êng</t>
  </si>
  <si>
    <t xml:space="preserve">   - M¸y ®Çm bµn 1KW</t>
  </si>
  <si>
    <t>36</t>
  </si>
  <si>
    <t>AL.16201</t>
  </si>
  <si>
    <t>R¶i giÊy dÇu líp c¸ch ly</t>
  </si>
  <si>
    <t xml:space="preserve">   - GiÊy dÇu</t>
  </si>
  <si>
    <t>m2</t>
  </si>
  <si>
    <t>37</t>
  </si>
  <si>
    <t>AD.11222</t>
  </si>
  <si>
    <t>Mãng CP§D Dmax37.5mm dµy 15cm</t>
  </si>
  <si>
    <t xml:space="preserve">   - M¸y r¶i 50-60m3/h</t>
  </si>
  <si>
    <t xml:space="preserve">   - M¸y lu rung 25T</t>
  </si>
  <si>
    <t xml:space="preserve">   - M¸y lu b¸nh h¬i 16T</t>
  </si>
  <si>
    <t xml:space="preserve">   - M¸y lu b¸nh thÐp 10T</t>
  </si>
  <si>
    <t xml:space="preserve">   - ¤ t« t­íi n­íc 5m3</t>
  </si>
  <si>
    <t>38</t>
  </si>
  <si>
    <t>AF.82411</t>
  </si>
  <si>
    <t>V¸n khu«n mÆt ®­êng bª t«ng</t>
  </si>
  <si>
    <t xml:space="preserve">   - ThÐp h×nh, thÐp tÊm</t>
  </si>
  <si>
    <t>39</t>
  </si>
  <si>
    <t>AK.55414</t>
  </si>
  <si>
    <t>L¸t g¹ch Terrazzo KT(30x30x3)cm</t>
  </si>
  <si>
    <t>Lãt v÷a xi m¨ng M75 dµy 2cm</t>
  </si>
  <si>
    <t xml:space="preserve">   - G¹ch Terrazzo KT(30x30x3)cm</t>
  </si>
  <si>
    <t xml:space="preserve">   - Xi m¨ng PC40</t>
  </si>
  <si>
    <t xml:space="preserve">   - C¸t mÞn Ml=1.5-2.0</t>
  </si>
  <si>
    <t xml:space="preserve">   - Xi m¨ng</t>
  </si>
  <si>
    <t>40</t>
  </si>
  <si>
    <t>AF.11231</t>
  </si>
  <si>
    <t>Bª t«ng mãng l¸t g¹ch</t>
  </si>
  <si>
    <t>V÷a bª t«ng ®¸ 2x4 M150</t>
  </si>
  <si>
    <t>41</t>
  </si>
  <si>
    <t>42</t>
  </si>
  <si>
    <t>AF.82511</t>
  </si>
  <si>
    <t>V¸n khu«n bª t«ng mãng</t>
  </si>
  <si>
    <t>G</t>
  </si>
  <si>
    <t>Tæng céng(1+2+3+4+5)</t>
  </si>
  <si>
    <t>6.</t>
  </si>
  <si>
    <t>G5</t>
  </si>
  <si>
    <t>Chi phÝ dù phßng:</t>
  </si>
  <si>
    <t>5.</t>
  </si>
  <si>
    <t xml:space="preserve">  - Chi phÝ thÈm tra phª duyÖt quyÕt to¸n</t>
  </si>
  <si>
    <t>G4</t>
  </si>
  <si>
    <t>Chi phÝ kh¸c:</t>
  </si>
  <si>
    <t>4.</t>
  </si>
  <si>
    <t xml:space="preserve"> G1*2.566%</t>
  </si>
  <si>
    <t>TV4</t>
  </si>
  <si>
    <t>TV3</t>
  </si>
  <si>
    <t xml:space="preserve"> G1*5.8%</t>
  </si>
  <si>
    <t>TV2</t>
  </si>
  <si>
    <t>TV1</t>
  </si>
  <si>
    <t>G3</t>
  </si>
  <si>
    <t>Chi phÝ t­ vÊn ®Çu t­ x©y dùng:</t>
  </si>
  <si>
    <t>3.</t>
  </si>
  <si>
    <t>C1</t>
  </si>
  <si>
    <t xml:space="preserve">  - Chi phÝ qu¶n lý dù ¸n §T XDCT</t>
  </si>
  <si>
    <t xml:space="preserve"> C1</t>
  </si>
  <si>
    <t>G2</t>
  </si>
  <si>
    <t>Chi phÝ qu¶n lý dù ¸n:</t>
  </si>
  <si>
    <t>2.</t>
  </si>
  <si>
    <t>A2</t>
  </si>
  <si>
    <t>A1</t>
  </si>
  <si>
    <t>G1</t>
  </si>
  <si>
    <t>Chi phÝ x©y dùng:</t>
  </si>
  <si>
    <t>1.</t>
  </si>
  <si>
    <t xml:space="preserve"> G+VAT</t>
  </si>
  <si>
    <t>Gxd</t>
  </si>
  <si>
    <t>+ Chi phÝ x©y dùng sau thuÕ</t>
  </si>
  <si>
    <t>.</t>
  </si>
  <si>
    <t>VAT</t>
  </si>
  <si>
    <t>+ ThuÕ gi¸ trÞ gia t¨ng</t>
  </si>
  <si>
    <t xml:space="preserve"> T+GT+TL</t>
  </si>
  <si>
    <t xml:space="preserve"> - Chi phÝ x©y dùng tr­íc thuÕ</t>
  </si>
  <si>
    <t>*</t>
  </si>
  <si>
    <t xml:space="preserve"> (T+GT)*5.50%</t>
  </si>
  <si>
    <t>TL</t>
  </si>
  <si>
    <t>+ Thu nhËp chÞu thuÕ tÝnh tr­íc</t>
  </si>
  <si>
    <t xml:space="preserve"> T*2.00%</t>
  </si>
  <si>
    <t>TT</t>
  </si>
  <si>
    <t xml:space="preserve">   Chi phÝ c«ng viÖc kh«ng x¸c ®Þnh KLTK</t>
  </si>
  <si>
    <t xml:space="preserve"> T*1.10%</t>
  </si>
  <si>
    <t>LT</t>
  </si>
  <si>
    <t xml:space="preserve">   Chi phÝ nhµ t¹m, nhµ ®iÒu hµnh thi c«ng</t>
  </si>
  <si>
    <t xml:space="preserve"> T*5.50%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</si>
  <si>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</si>
  <si>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</si>
  <si>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</si>
  <si>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</si>
  <si>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</si>
  <si>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</si>
  <si>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</si>
  <si>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</si>
  <si>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</si>
  <si>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</si>
  <si>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</si>
  <si>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</si>
  <si>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</si>
  <si>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</si>
  <si>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</si>
  <si>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</si>
  <si>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</si>
  <si>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2</t>
  </si>
  <si>
    <t xml:space="preserve"> 1</t>
  </si>
  <si>
    <t>Copy 36</t>
  </si>
  <si>
    <t>Copy 14</t>
  </si>
  <si>
    <t>Copy 13</t>
  </si>
  <si>
    <t>Copy 10</t>
  </si>
  <si>
    <t>%</t>
  </si>
  <si>
    <t xml:space="preserve">   - M¸y kh¸c</t>
  </si>
  <si>
    <t>C- M¸y thi c«ng :</t>
  </si>
  <si>
    <t>B- Nh©n c«ng :</t>
  </si>
  <si>
    <t xml:space="preserve">   - VËt liÖu kh¸c</t>
  </si>
  <si>
    <t>A- VËt liÖu :</t>
  </si>
  <si>
    <t xml:space="preserve"> B- Nh©n c«ng :</t>
  </si>
  <si>
    <t xml:space="preserve"> A- VËt liÖu :</t>
  </si>
  <si>
    <t xml:space="preserve"> C- M¸y thi c«ng :</t>
  </si>
  <si>
    <t>1x3/4N4</t>
  </si>
  <si>
    <t>23*Diezel</t>
  </si>
  <si>
    <t>M106.0502</t>
  </si>
  <si>
    <t>1x3/7N4</t>
  </si>
  <si>
    <t>47*KWh</t>
  </si>
  <si>
    <t>M102.1001</t>
  </si>
  <si>
    <t>1x4/7N4</t>
  </si>
  <si>
    <t>46*Diezel</t>
  </si>
  <si>
    <t>M101.0503</t>
  </si>
  <si>
    <t>4*Xang</t>
  </si>
  <si>
    <t>M101.0803</t>
  </si>
  <si>
    <t>7*KWh</t>
  </si>
  <si>
    <t>M112.1301</t>
  </si>
  <si>
    <t>5*KWh</t>
  </si>
  <si>
    <t>M112.1101</t>
  </si>
  <si>
    <t>83*Diezel</t>
  </si>
  <si>
    <t>M101.0105</t>
  </si>
  <si>
    <t>43*Diezel</t>
  </si>
  <si>
    <t>M101.0101</t>
  </si>
  <si>
    <t>11*KWh</t>
  </si>
  <si>
    <t>M104.0102</t>
  </si>
  <si>
    <t>1x3/7N4+1x5/7N4</t>
  </si>
  <si>
    <t>30*Diezel</t>
  </si>
  <si>
    <t>M105.0401</t>
  </si>
  <si>
    <t>67*Diezel</t>
  </si>
  <si>
    <t>M101.1006</t>
  </si>
  <si>
    <t>26*Diezel</t>
  </si>
  <si>
    <t>M101.1103</t>
  </si>
  <si>
    <t>38*Diezel</t>
  </si>
  <si>
    <t>M101.0902</t>
  </si>
  <si>
    <t>48*KWh</t>
  </si>
  <si>
    <t>M112.4003</t>
  </si>
  <si>
    <t>9*KWh</t>
  </si>
  <si>
    <t>M112.2601</t>
  </si>
  <si>
    <t>M112.2201</t>
  </si>
  <si>
    <t>1x3/7N4+1x6/7N4</t>
  </si>
  <si>
    <t>120*KWh</t>
  </si>
  <si>
    <t>M102.0406</t>
  </si>
  <si>
    <t>1x4/7N4+1x6/7N4</t>
  </si>
  <si>
    <t>25*Diezel</t>
  </si>
  <si>
    <t>M102.0201</t>
  </si>
  <si>
    <t>1x1/4N4+1x3/4N4</t>
  </si>
  <si>
    <t>33*Diezel</t>
  </si>
  <si>
    <t>M102.0104</t>
  </si>
  <si>
    <t>273769.7</t>
  </si>
  <si>
    <t>252200.0</t>
  </si>
  <si>
    <t>239000.0</t>
  </si>
  <si>
    <t>230630.3</t>
  </si>
  <si>
    <t>218559.2</t>
  </si>
  <si>
    <t xml:space="preserve">     0</t>
  </si>
  <si>
    <t>- §Êt mµu trång c©y</t>
  </si>
  <si>
    <t>- §¸ d¨m 2x4</t>
  </si>
  <si>
    <t>- §¸ d¨m 1x2</t>
  </si>
  <si>
    <t>- §inh</t>
  </si>
  <si>
    <t>- Xi m¨ng PCB40</t>
  </si>
  <si>
    <t>- Xi m¨ng PCB30</t>
  </si>
  <si>
    <t>- Xi m¨ng PC40</t>
  </si>
  <si>
    <t>- Xi m¨ng</t>
  </si>
  <si>
    <t>- V«i côc</t>
  </si>
  <si>
    <t>- ThÐp tÊm</t>
  </si>
  <si>
    <t>- ThÐp trßn d&gt;10mm</t>
  </si>
  <si>
    <t>- ThÐp trßn d&lt;=10mm</t>
  </si>
  <si>
    <t>- ThÐp trßn</t>
  </si>
  <si>
    <t>- ThÐp h×nh, thÐp tÊm</t>
  </si>
  <si>
    <t>- ThÐp h×nh</t>
  </si>
  <si>
    <t>- Que hµn</t>
  </si>
  <si>
    <t>- Ph©n h÷u c¬</t>
  </si>
  <si>
    <t>- NÑp gç 0.03x0.05 dµi 0.3m</t>
  </si>
  <si>
    <t>- N­íc</t>
  </si>
  <si>
    <t>- Nhùa ®­êng</t>
  </si>
  <si>
    <t>- Nhùa d¸n</t>
  </si>
  <si>
    <t>- L­íi c¾t D350</t>
  </si>
  <si>
    <t>- Gç lµm khe co gi·n</t>
  </si>
  <si>
    <t>- GiÊy dÇu</t>
  </si>
  <si>
    <t>- D©y thÐp</t>
  </si>
  <si>
    <t>- Cét chèng thÐp èng</t>
  </si>
  <si>
    <t>- Cån röa</t>
  </si>
  <si>
    <t>- Cäc chèng dµi bq 2.5m</t>
  </si>
  <si>
    <t>- C¸t vµng Ml&gt;2</t>
  </si>
  <si>
    <t>- C¸t vµng</t>
  </si>
  <si>
    <t>- C¸t mÞn Ml=1.5-2.0</t>
  </si>
  <si>
    <t>- CP§D Dmax37.5mm</t>
  </si>
  <si>
    <t>- Bao bè</t>
  </si>
  <si>
    <t>*A - V¢T LI£U</t>
  </si>
  <si>
    <t>§éc lËp - Tù do - H¹nh phóc</t>
  </si>
  <si>
    <t>=======@@@=======</t>
  </si>
  <si>
    <t>C«ng tr×nh :</t>
  </si>
  <si>
    <t>Lý tr×nh :</t>
  </si>
  <si>
    <t>H¹ng môc :</t>
  </si>
  <si>
    <t>H¹ng môc chi phÝ</t>
  </si>
  <si>
    <t>Ký
hiÖu</t>
  </si>
  <si>
    <t>C¸ch tÝnh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</si>
  <si>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</si>
  <si>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</si>
  <si>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</si>
  <si>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</si>
  <si>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</si>
  <si>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</si>
  <si>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</si>
  <si>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</si>
  <si>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</si>
  <si>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</si>
  <si>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</si>
  <si>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</si>
  <si>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</si>
  <si>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</si>
  <si>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</si>
  <si>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</si>
  <si>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</si>
  <si>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</si>
  <si>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</si>
  <si>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</si>
  <si>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</si>
  <si>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</si>
  <si>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</si>
  <si>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</si>
  <si>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</si>
  <si>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</si>
  <si>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</si>
  <si>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</si>
  <si>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</si>
  <si>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</si>
  <si>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</si>
  <si>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</si>
  <si>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</si>
  <si>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</si>
  <si>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</si>
  <si>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</si>
  <si>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</si>
  <si>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</si>
  <si>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</si>
  <si>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</si>
  <si>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</si>
  <si>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</si>
  <si>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</si>
  <si>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</si>
  <si>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</si>
  <si>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</si>
  <si>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</si>
  <si>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</si>
  <si>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</si>
  <si>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</si>
  <si>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</si>
  <si>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</si>
  <si>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</si>
  <si>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</si>
  <si>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</si>
  <si>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</si>
  <si>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</si>
  <si>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</si>
  <si>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</si>
  <si>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</si>
  <si>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</si>
  <si>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</si>
  <si>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 xml:space="preserve">§µo mãng hè thu, §Êt cÊp III </t>
  </si>
  <si>
    <t>§µo mãng häng thu n­íc, §Êt cÊp III</t>
  </si>
  <si>
    <t>§µo mãng c«ng tr×nh, §Êt cÊp III</t>
  </si>
  <si>
    <t>§µo hè trång c©y, §Êt cÊp III</t>
  </si>
  <si>
    <t>§µo mãng hè thu, §Êt cÊp III</t>
  </si>
  <si>
    <t>Gi¸ T6/2023</t>
  </si>
  <si>
    <t>X¨ng</t>
  </si>
  <si>
    <t>Diezel</t>
  </si>
  <si>
    <t xml:space="preserve">   - C¸t xay</t>
  </si>
  <si>
    <t>- C¸t xay</t>
  </si>
  <si>
    <t>- G¹ch Terrazzo KT
(30x30x3)cm mµu x¸m</t>
  </si>
  <si>
    <t>L¸t g¹ch Terrazzo KT(30x30x3)cm mµu x¸m</t>
  </si>
  <si>
    <t>Logistics Tr­êng S¬n</t>
  </si>
  <si>
    <t>C«ng tr×nh</t>
  </si>
  <si>
    <t>k4</t>
  </si>
  <si>
    <t>58</t>
  </si>
  <si>
    <t>AM.24211</t>
  </si>
  <si>
    <t>VC g¹ch èp l¸t c¸c lo¹i= « t« vËn t¶i thïng 7T</t>
  </si>
  <si>
    <t>10tÊn/km</t>
  </si>
  <si>
    <t>Trong ph¹m vi &lt;=1km</t>
  </si>
  <si>
    <t xml:space="preserve">   - ¤ t« vËn t¶i thïng 7T</t>
  </si>
  <si>
    <t>59</t>
  </si>
  <si>
    <t>AM.24212</t>
  </si>
  <si>
    <t>Trong ph¹m vi &lt;=10km</t>
  </si>
  <si>
    <t>60</t>
  </si>
  <si>
    <t>AM.24213</t>
  </si>
  <si>
    <t>Trong ph¹m vi &lt;=60km</t>
  </si>
  <si>
    <t>61</t>
  </si>
  <si>
    <t>AM.23111</t>
  </si>
  <si>
    <t>VËn chuyÓn c¸t x©y dùng = « t« tù ®æ 7T</t>
  </si>
  <si>
    <t>10m3/km</t>
  </si>
  <si>
    <t xml:space="preserve">   - ¤ t« tù ®æ 7T</t>
  </si>
  <si>
    <t>62</t>
  </si>
  <si>
    <t>AM.23112</t>
  </si>
  <si>
    <t>63</t>
  </si>
  <si>
    <t>AM.23113</t>
  </si>
  <si>
    <t>64</t>
  </si>
  <si>
    <t>AM.23411</t>
  </si>
  <si>
    <t>VËn chuyÓn ®¸ d¨m c¸c lo¹i = « t« tù ®æ 7T</t>
  </si>
  <si>
    <t>65</t>
  </si>
  <si>
    <t>AM.23412</t>
  </si>
  <si>
    <t>66</t>
  </si>
  <si>
    <t>AM.23413</t>
  </si>
  <si>
    <t>67</t>
  </si>
  <si>
    <t>AM.24111</t>
  </si>
  <si>
    <t>V/chuyÓn g¹ch x©y c¸c lo¹i= « t« vËn t¶i thïng 7T</t>
  </si>
  <si>
    <t>68</t>
  </si>
  <si>
    <t>AM.24112</t>
  </si>
  <si>
    <t>69</t>
  </si>
  <si>
    <t>AM.24113</t>
  </si>
  <si>
    <t>70</t>
  </si>
  <si>
    <t>AM.24411</t>
  </si>
  <si>
    <t>V/chuyÓn xi m¨ng bao= « t« vËn t¶i thïng 7T</t>
  </si>
  <si>
    <t>71</t>
  </si>
  <si>
    <t>AM.24412</t>
  </si>
  <si>
    <t>72</t>
  </si>
  <si>
    <t>AM.24413</t>
  </si>
  <si>
    <t>73</t>
  </si>
  <si>
    <t>AM.24511</t>
  </si>
  <si>
    <t>V/chuyÓn thÐp c¸c lo¹i= « t« vËn t¶i thïng 7T</t>
  </si>
  <si>
    <t>74</t>
  </si>
  <si>
    <t>AM.24512</t>
  </si>
  <si>
    <t>75</t>
  </si>
  <si>
    <t>AM.24513</t>
  </si>
  <si>
    <t>76</t>
  </si>
  <si>
    <t>AM.24711</t>
  </si>
  <si>
    <t>V/chuyÓn gç c¸c lo¹i= « t« vËn t¶i thïng 7T</t>
  </si>
  <si>
    <t>77</t>
  </si>
  <si>
    <t>AM.24712</t>
  </si>
  <si>
    <t>78</t>
  </si>
  <si>
    <t>AM.24713</t>
  </si>
  <si>
    <t>129</t>
  </si>
  <si>
    <t>130</t>
  </si>
  <si>
    <t>131</t>
  </si>
  <si>
    <t>M106.0203</t>
  </si>
  <si>
    <t>1x2/4N4</t>
  </si>
  <si>
    <t>M106.0105</t>
  </si>
  <si>
    <t>31*Diezel</t>
  </si>
  <si>
    <t>An Lç</t>
  </si>
  <si>
    <t>- Gèi cèng D600mm</t>
  </si>
  <si>
    <t xml:space="preserve">   - Gèi cèng D600mm</t>
  </si>
  <si>
    <t>L¾p ®Æt gèi cèng D600mm</t>
  </si>
  <si>
    <t>1mèi 
nèi</t>
  </si>
  <si>
    <t>Xu©n Long</t>
  </si>
  <si>
    <t>AM.26111</t>
  </si>
  <si>
    <t>V/chuyÓn èng cèng bª t«ng= « t« vËn t¶i thïng 7T</t>
  </si>
  <si>
    <t>AM.26112</t>
  </si>
  <si>
    <t>AM.12202</t>
  </si>
  <si>
    <t>Bèc xÕp cÊu kiÖn bª t«ng ®óc s½n=cÇn cÈu</t>
  </si>
  <si>
    <t>1c/kiÖn</t>
  </si>
  <si>
    <t>P&lt;=500kg. Bèc xÕp xuèng</t>
  </si>
  <si>
    <t>- èng bª t«ng D600mm, 
TT b¨ng ®­êng</t>
  </si>
  <si>
    <t>- èng bª t«ng D600mm, 
TT vØa hÌ</t>
  </si>
  <si>
    <t>AM.11282</t>
  </si>
  <si>
    <t>Bốc xếp vật liệu khác bằng thủ công</t>
  </si>
  <si>
    <t>Tấn</t>
  </si>
  <si>
    <t>Bốc xuống - Thép các loại</t>
  </si>
  <si>
    <t>B- Nhân công :</t>
  </si>
  <si>
    <t xml:space="preserve">   - Nhân công bậc 3.0/7N1</t>
  </si>
  <si>
    <t>Công</t>
  </si>
  <si>
    <t>AM.11252</t>
  </si>
  <si>
    <t>Bốc xuống - Gỗ các loại</t>
  </si>
  <si>
    <t>V/chuyển nhựa đường = ô tô vận tải thùng 12T</t>
  </si>
  <si>
    <t>10tấn/km</t>
  </si>
  <si>
    <t>Trong phạm vi &lt;=1km</t>
  </si>
  <si>
    <t>C- Máy thi công :</t>
  </si>
  <si>
    <t>Trong phạm vi &lt;=10km</t>
  </si>
  <si>
    <t xml:space="preserve">   - Ô tô vận tải thùng 7T</t>
  </si>
  <si>
    <t>AM.24611</t>
  </si>
  <si>
    <t>AM.24612</t>
  </si>
  <si>
    <t xml:space="preserve">§/kÝnh cèt thÐp d&lt;=18 mm </t>
  </si>
  <si>
    <t xml:space="preserve">L¾p ®Æt èng cèng BTCT D600mm </t>
  </si>
  <si>
    <t>C«ng tr×nh: HÖ THèNG THO¸T N­íc ®­êng ng« tÊt tè - ph­êng h­¬ng v¨n</t>
  </si>
  <si>
    <t>b­íc: lËp b¸o c¸o kinh tÕ - kü thuËt</t>
  </si>
  <si>
    <t xml:space="preserve">Bª t«ng tÊm ch¾n r¸c ®óc s½n </t>
  </si>
  <si>
    <t>V÷a 1x2 M250</t>
  </si>
  <si>
    <t xml:space="preserve">Bª t«ng tÊm ®an ®óc s½n </t>
  </si>
  <si>
    <t xml:space="preserve"> G1+...+G5</t>
  </si>
  <si>
    <t>STT</t>
  </si>
  <si>
    <t>Nội dung chi phí</t>
  </si>
  <si>
    <t>Giá trị đề nghị thẩm tra</t>
  </si>
  <si>
    <t>Giá trị sau thẩm tra</t>
  </si>
  <si>
    <t>Tăng (+), giảm(-)</t>
  </si>
  <si>
    <t>Chi phí xây dựng</t>
  </si>
  <si>
    <t>Chi phí quản lý dự án</t>
  </si>
  <si>
    <t>Chi phí tư vấn ĐTXD</t>
  </si>
  <si>
    <t>Chi phí khác</t>
  </si>
  <si>
    <t>Chi phí dự phòng</t>
  </si>
  <si>
    <t>Tổng cộng:</t>
  </si>
  <si>
    <t>NGUY£N NH¢N T¡NG GI¶M</t>
  </si>
  <si>
    <t>§iÒu chØnh gi¸ vËt liÖu, gi¸ nhiªn liÖu x¨ng dÇu theo th«ng b¸o gi¸ th¸ng 6/2023</t>
  </si>
  <si>
    <t>Thay ®æi m· ®Þnh møc AB.25104vd  danh môc 24 thµnh AB.31134 ®óng víi m· ®µo mÆt ®­êng hiÖn tr¹ng</t>
  </si>
  <si>
    <t>®Þa ®iÓm: ph­êng h­¬ng v¨n - thÞ x· h­¬ng trµ - tØnh thõa thiªn huÕ</t>
  </si>
  <si>
    <t>Thay ®æi vËn chuyÓn tõ « t« tù ®æ 12T, « t« vËn t¶i thïng 12T thµnh « t« tù ®æ 7T, « t« vËn t¶i thïng 7T</t>
  </si>
  <si>
    <t xml:space="preserve"> G1/1.1*2.901%</t>
  </si>
  <si>
    <t xml:space="preserve"> Tèi thiÓu</t>
  </si>
  <si>
    <t>Dđiẹn</t>
  </si>
  <si>
    <t>BB.13605</t>
  </si>
  <si>
    <t>Nèi èng BT b»ng gio¨ng cao su</t>
  </si>
  <si>
    <t>1mèi nèi</t>
  </si>
  <si>
    <t xml:space="preserve">   - Giăng cao su 600mm</t>
  </si>
  <si>
    <t xml:space="preserve">   - Mỡ bôi trơn</t>
  </si>
  <si>
    <t>Cái</t>
  </si>
  <si>
    <t>- Gio¨ng cao su 600mm</t>
  </si>
  <si>
    <t>- Mì b«i tr¬n</t>
  </si>
  <si>
    <t>Q§ 377/Q§-EVN ngµy 27/4/2023 cña tËp ®oµn ®iÖn lùc ViÖt Nam….gi¸ ®iÖn 1kw=1920.37</t>
  </si>
  <si>
    <t>Tø H¹</t>
  </si>
  <si>
    <t>Xi m¨ng Lusk</t>
  </si>
  <si>
    <t>XL Tø H¹</t>
  </si>
  <si>
    <t>C- Ca m¸y :</t>
  </si>
  <si>
    <t>Bốc xếp cấu kiện bê tông đúc sẵn=cần cẩu</t>
  </si>
  <si>
    <t>1c/kiện</t>
  </si>
  <si>
    <t xml:space="preserve">   - Cần cẩu bánh hơi 6T</t>
  </si>
  <si>
    <t>AM.12302</t>
  </si>
  <si>
    <t>P&lt;=1000kg. Bốc xếp xuống</t>
  </si>
  <si>
    <t>Bốc xếp cấu kiện xuống = máy</t>
  </si>
  <si>
    <t xml:space="preserve">Tr­êng S¬n </t>
  </si>
  <si>
    <t>gi¶m vËn chuyÓn chë g¹ch terrazzo =« t« tõ 12T xuèng thµnh 7T</t>
  </si>
  <si>
    <t xml:space="preserve">- èng nhùa uPVC D250mm 
dµy 7.3mm  </t>
  </si>
  <si>
    <t xml:space="preserve">   - èng nhùa uPVC D250mm dµy 7.3mm</t>
  </si>
  <si>
    <t>Gi¶m cù ly vËn chuyÓn vËt liÖu ®Õn c«ng tr×nh (cù ly vËn chuyÓn ch­a phï hîp)</t>
  </si>
  <si>
    <t>nhÇm c¸ch tÝnh cÊu kiÖn cÈu bt èng cèng xu«ng quªn chia cho 2,5m</t>
  </si>
  <si>
    <t xml:space="preserve"> G*10%</t>
  </si>
  <si>
    <t xml:space="preserve"> DPP</t>
  </si>
  <si>
    <t xml:space="preserve"> A1</t>
  </si>
  <si>
    <t xml:space="preserve"> A2</t>
  </si>
  <si>
    <t xml:space="preserve"> A1+A2</t>
  </si>
  <si>
    <t>K1</t>
  </si>
  <si>
    <t>TV5</t>
  </si>
  <si>
    <t xml:space="preserve"> TV1+...+TV5</t>
  </si>
  <si>
    <t xml:space="preserve">  -1- Hè thu tho¸t n­íc m­a</t>
  </si>
  <si>
    <t xml:space="preserve">  -2- Cèng däc tho¸t n­íc m­a</t>
  </si>
  <si>
    <t>CỘNG HÒA XÃ HỘI CHỦ NGHĨA VIỆT NAM</t>
  </si>
  <si>
    <t xml:space="preserve">  - Chi phÝ kh¶o s¸t x©y dùng</t>
  </si>
  <si>
    <t xml:space="preserve">  - Chi phÝ lËp b¸o c¸o kinh tÕ kü thuËt</t>
  </si>
  <si>
    <t xml:space="preserve">  - Chi phÝ thÈm tra thiÕt kÕ x©y dùng</t>
  </si>
  <si>
    <t xml:space="preserve">  - Chi phÝ thÈm tra dù to¸n x©y dùng</t>
  </si>
  <si>
    <t xml:space="preserve">  - Chi phÝ gi¸m s¸t thi c«ng x©y dùng</t>
  </si>
  <si>
    <t xml:space="preserve">  - Chi phÝ thÈm ®Þnh b¸o c¸o kinh tÕ kü thuËt</t>
  </si>
  <si>
    <t xml:space="preserve"> K1+K2</t>
  </si>
  <si>
    <t xml:space="preserve"> (TM-G5)*0.57%</t>
  </si>
  <si>
    <t>*\1- Hè thu tho¸t n­íc m­a:</t>
  </si>
  <si>
    <t>*\2- Cèng däc tho¸t n­íc m­a:</t>
  </si>
  <si>
    <t>HÖ sè lo¹i ®­êng</t>
  </si>
  <si>
    <t>b</t>
  </si>
  <si>
    <t>®Þa ®iÓm: ph­êng h­¬ng v¨n, thÞ x· h­¬ng trµ, tØnh thõa thiªn huÕ</t>
  </si>
  <si>
    <t xml:space="preserve"> §· thÈm tra</t>
  </si>
  <si>
    <t>BẢNG TỔNG MỨC ĐẦU TƯ</t>
  </si>
  <si>
    <t xml:space="preserve">KẾ HOẠCH LỰA CHỌN NHÀ THẦU </t>
  </si>
  <si>
    <t>(Kèm theo Quyết định số        /QĐ-UBND ngày         /      /2023 của UBND thị xã Hương Trà)</t>
  </si>
  <si>
    <t>Stt</t>
  </si>
  <si>
    <t>Tên gói thầu</t>
  </si>
  <si>
    <t>Giá gói thầu
(1000 đồng)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</si>
  <si>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</si>
  <si>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</si>
  <si>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</si>
  <si>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</si>
  <si>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</si>
  <si>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>Thời gian thực hiện hợp đồng</t>
  </si>
  <si>
    <t>I</t>
  </si>
  <si>
    <t>Phần công việc đã thực hiện</t>
  </si>
  <si>
    <t>Gói thầu số 01: Khảo sát, lập báo cáo kinh tế kỹ thuật</t>
  </si>
  <si>
    <t>Đã thực hiện</t>
  </si>
  <si>
    <t>Gói thầu số 02: Thẩm tra thiết kế BVTC và dự toán</t>
  </si>
  <si>
    <t>II</t>
  </si>
  <si>
    <t>Phần công việc thuộc kế hoạch lựa chọn nhà thầu</t>
  </si>
  <si>
    <t>Gói thầu số 03: Toàn bộ phần xây lắp</t>
  </si>
  <si>
    <t>Chỉ định thầu</t>
  </si>
  <si>
    <t>Quý III/2023</t>
  </si>
  <si>
    <t>Trọn gói</t>
  </si>
  <si>
    <t>90 ngày</t>
  </si>
  <si>
    <t>Gói thầu số 04: Giám sát xây dựng</t>
  </si>
  <si>
    <t>III</t>
  </si>
  <si>
    <t>Phần công việc không áp dụng được một trong các hình thức lựa chọn nhà thầu</t>
  </si>
  <si>
    <t>Chủ đầu tư và các cơ quan liên quan thực hiện</t>
  </si>
  <si>
    <t>IV</t>
  </si>
  <si>
    <t>Dự phòng</t>
  </si>
  <si>
    <t>Tổng cộng</t>
  </si>
  <si>
    <t>ĐVT: đồng.</t>
  </si>
  <si>
    <t>Bổ sung có mục tiêu của tỉnh 1.100 triệu đồng, phần còn lại ngân sách phường Hương Văn</t>
  </si>
  <si>
    <t>Quản lý dự án; Thẩm định BCKTKT; Thẩm tra phê duyệt quyết toán</t>
  </si>
  <si>
    <t>K2</t>
  </si>
  <si>
    <t>(Kèm theo Quyết định số1179/QĐ-UBND ngày  13 / 9/2023 của UBND thị xã Hương Trà)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</si>
</sst>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#,##0.0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"/>
    <numFmt numFmtId="181" formatCode="0.0"/>
    <numFmt numFmtId="182" formatCode="0.000000"/>
    <numFmt numFmtId="183" formatCode="\$#,##0_);\(\$#,##0\)"/>
    <numFmt numFmtId="184" formatCode="\$#,##0_);[Red]\(\$#,##0\)"/>
    <numFmt numFmtId="185" formatCode="\$#,##0.00_);\(\$#,##0.00\)"/>
    <numFmt numFmtId="186" formatCode="\$#,##0.00_);[Red]\(\$#,##0.00\)"/>
    <numFmt numFmtId="187" formatCode="_(* #,##0.000_);_(* \(#,##0.000\);_(* &quot;-&quot;??_);_(@_)"/>
    <numFmt numFmtId="188" formatCode="_(* #,##0_);_(* \(#,##0\);_(* &quot;-&quot;??_);_(@_)"/>
    <numFmt numFmtId="189" formatCode="0.000"/>
    <numFmt numFmtId="190" formatCode="[$-1010000]d/m/yyyy;@"/>
    <numFmt numFmtId="191" formatCode="_(* #,##0.0_);_(* \(#,##0.0\);_(* &quot;-&quot;??_);_(@_)"/>
    <numFmt numFmtId="192" formatCode="_-* #,##0.000\ _₫_-;\-* #,##0.000\ _₫_-;_-* &quot;-&quot;???\ _₫_-;_-@_-"/>
    <numFmt numFmtId="193" formatCode="0E+00"/>
    <numFmt numFmtId="194" formatCode="_(* #,##0.0000_);_(* \(#,##0.0000\);_(* &quot;-&quot;??_);_(@_)"/>
    <numFmt numFmtId="195" formatCode="_(* #,##0.000_);_(* \(#,##0.000\);_(* &quot;-&quot;???_);_(@_)"/>
    <numFmt numFmtId="196" formatCode="_(* #,##0.0_);_(* \(#,##0.0\);_(* &quot;-&quot;?_);_(@_)"/>
    <numFmt numFmtId="197" formatCode="_-* #.##0.00\ _₫_-;\-* #.##0.00\ _₫_-;_-* &quot;-&quot;??\ _₫_-;_-@_-"/>
    <numFmt numFmtId="198" formatCode="&quot;R&quot;\ #,##0;&quot;R&quot;\ \-#,##0"/>
    <numFmt numFmtId="199" formatCode="&quot;R&quot;\ #,##0;[Red]&quot;R&quot;\ \-#,##0"/>
    <numFmt numFmtId="200" formatCode="&quot;R&quot;\ #,##0.00;&quot;R&quot;\ \-#,##0.00"/>
    <numFmt numFmtId="201" formatCode="&quot;R&quot;\ #,##0.00;[Red]&quot;R&quot;\ \-#,##0.00"/>
    <numFmt numFmtId="202" formatCode="_ &quot;R&quot;\ * #,##0_ ;_ &quot;R&quot;\ * \-#,##0_ ;_ &quot;R&quot;\ * &quot;-&quot;_ ;_ @_ "/>
    <numFmt numFmtId="203" formatCode="_ * #,##0_ ;_ * \-#,##0_ ;_ * &quot;-&quot;_ ;_ @_ "/>
    <numFmt numFmtId="204" formatCode="_ &quot;R&quot;\ * #,##0.00_ ;_ &quot;R&quot;\ * \-#,##0.00_ ;_ &quot;R&quot;\ * &quot;-&quot;??_ ;_ @_ "/>
    <numFmt numFmtId="205" formatCode="_ * #,##0.00_ ;_ * \-#,##0.00_ ;_ * &quot;-&quot;??_ ;_ @_ "/>
    <numFmt numFmtId="206" formatCode="0.0000"/>
    <numFmt numFmtId="207" formatCode="_-* #,##0.0\ _₫_-;\-* #,##0.0\ _₫_-;_-* &quot;-&quot;??\ _₫_-;_-@_-"/>
    <numFmt numFmtId="208" formatCode="_-* #,##0\ _₫_-;\-* #,##0\ _₫_-;_-* &quot;-&quot;??\ _₫_-;_-@_-"/>
    <numFmt numFmtId="209" formatCode="##"/>
    <numFmt numFmtId="210" formatCode="_(* #,##0.00_);_(* \(#,##0.00\);_(* &quot;-&quot;_);_(@_)"/>
    <numFmt numFmtId="211" formatCode="\(##\)"/>
    <numFmt numFmtId="212" formatCode="_(* #,##0.000_);_(* \(#,##0.000\);_(* &quot;-&quot;_);_(@_)"/>
    <numFmt numFmtId="213" formatCode="#,###"/>
    <numFmt numFmtId="214" formatCode="#,###\-"/>
    <numFmt numFmtId="215" formatCode="_-* #,##0.00_-;\-* #,##0.00_-;_-* &quot;-&quot;??_-;_-@_-"/>
  </numFmts>
  <fonts count="109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name val=".VnArial Narrow"/>
      <family val="2"/>
    </font>
    <font>
      <sz val="11"/>
      <name val=".VnArial Narrow"/>
      <family val="2"/>
    </font>
    <font>
      <sz val="11"/>
      <name val="Times New Roman"/>
      <family val="1"/>
    </font>
    <font>
      <b/>
      <sz val="13"/>
      <name val=".VnArialH"/>
      <family val="2"/>
    </font>
    <font>
      <b/>
      <sz val="11"/>
      <name val=".VnArial Narrow"/>
      <family val="2"/>
    </font>
    <font>
      <b/>
      <sz val="11"/>
      <name val=".VnTimeH"/>
      <family val="2"/>
    </font>
    <font>
      <sz val="11"/>
      <name val=".VnTimeH"/>
      <family val="2"/>
    </font>
    <font>
      <b/>
      <sz val="9"/>
      <name val=".VnArial Narrow"/>
      <family val="2"/>
    </font>
    <font>
      <sz val="10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i/>
      <sz val="12"/>
      <name val=".VnTime"/>
      <family val="2"/>
    </font>
    <font>
      <u val="single"/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VNI-Times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12"/>
      <name val=".VnTimeH"/>
      <family val="2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sz val="11"/>
      <color indexed="8"/>
      <name val="Calibri"/>
      <family val="2"/>
    </font>
    <font>
      <i/>
      <sz val="12"/>
      <color indexed="23"/>
      <name val=".VnTime"/>
      <family val="2"/>
    </font>
    <font>
      <u val="single"/>
      <sz val="12"/>
      <color indexed="25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u val="single"/>
      <sz val="12"/>
      <color indexed="30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.VnTimeH"/>
      <family val="2"/>
    </font>
    <font>
      <sz val="11"/>
      <color indexed="10"/>
      <name val=".VnArial Narrow"/>
      <family val="2"/>
    </font>
    <font>
      <sz val="10"/>
      <color indexed="10"/>
      <name val=".VnArial Narrow"/>
      <family val="2"/>
    </font>
    <font>
      <b/>
      <sz val="11"/>
      <color indexed="8"/>
      <name val=".VnTimeH"/>
      <family val="2"/>
    </font>
    <font>
      <b/>
      <sz val="12"/>
      <color indexed="8"/>
      <name val="Calibri Light"/>
      <family val="1"/>
    </font>
    <font>
      <b/>
      <i/>
      <sz val="12"/>
      <color indexed="8"/>
      <name val=".VnTime"/>
      <family val="2"/>
    </font>
    <font>
      <b/>
      <sz val="13"/>
      <color indexed="8"/>
      <name val=".VnArialH"/>
      <family val="2"/>
    </font>
    <font>
      <i/>
      <sz val="13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sz val="11"/>
      <color theme="1"/>
      <name val="Calibri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.VnTime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.VnTimeH"/>
      <family val="2"/>
    </font>
    <font>
      <sz val="12"/>
      <color rgb="FF00B050"/>
      <name val=".VnTime"/>
      <family val="2"/>
    </font>
    <font>
      <sz val="11"/>
      <color rgb="FFFF0000"/>
      <name val=".VnArial Narrow"/>
      <family val="2"/>
    </font>
    <font>
      <sz val="10"/>
      <color rgb="FFFF0000"/>
      <name val=".VnArial Narrow"/>
      <family val="2"/>
    </font>
    <font>
      <i/>
      <sz val="13"/>
      <color theme="1"/>
      <name val="Times New Roman"/>
      <family val="1"/>
    </font>
    <font>
      <b/>
      <i/>
      <sz val="12"/>
      <color theme="1"/>
      <name val=".VnTime"/>
      <family val="2"/>
    </font>
    <font>
      <b/>
      <sz val="12"/>
      <color theme="1"/>
      <name val="Calibri Light"/>
      <family val="1"/>
    </font>
    <font>
      <b/>
      <sz val="14"/>
      <color theme="1"/>
      <name val="Times New Roman"/>
      <family val="1"/>
    </font>
    <font>
      <b/>
      <sz val="11"/>
      <color theme="1"/>
      <name val=".VnTimeH"/>
      <family val="2"/>
    </font>
    <font>
      <b/>
      <sz val="13"/>
      <color theme="1"/>
      <name val=".VnArialH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86" fillId="0" borderId="0" xfId="0" applyFont="1" applyAlignment="1">
      <alignment/>
    </xf>
    <xf numFmtId="4" fontId="86" fillId="0" borderId="0" xfId="0" applyNumberFormat="1" applyFont="1" applyAlignment="1">
      <alignment/>
    </xf>
    <xf numFmtId="172" fontId="86" fillId="0" borderId="0" xfId="0" applyNumberFormat="1" applyFont="1" applyAlignment="1">
      <alignment/>
    </xf>
    <xf numFmtId="173" fontId="86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6" fillId="0" borderId="10" xfId="0" applyFont="1" applyBorder="1" applyAlignment="1">
      <alignment/>
    </xf>
    <xf numFmtId="0" fontId="86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86" fillId="0" borderId="15" xfId="0" applyFont="1" applyBorder="1" applyAlignment="1">
      <alignment/>
    </xf>
    <xf numFmtId="0" fontId="86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6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3" fontId="86" fillId="0" borderId="19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9" fillId="0" borderId="10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11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13" xfId="0" applyFont="1" applyBorder="1" applyAlignment="1">
      <alignment/>
    </xf>
    <xf numFmtId="0" fontId="90" fillId="0" borderId="15" xfId="0" applyFont="1" applyBorder="1" applyAlignment="1">
      <alignment/>
    </xf>
    <xf numFmtId="0" fontId="90" fillId="0" borderId="16" xfId="0" applyFont="1" applyBorder="1" applyAlignment="1">
      <alignment/>
    </xf>
    <xf numFmtId="172" fontId="89" fillId="0" borderId="0" xfId="0" applyNumberFormat="1" applyFont="1" applyAlignment="1">
      <alignment horizontal="right"/>
    </xf>
    <xf numFmtId="172" fontId="9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4" fontId="0" fillId="0" borderId="11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173" fontId="86" fillId="0" borderId="20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16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21" xfId="0" applyNumberFormat="1" applyFont="1" applyBorder="1" applyAlignment="1">
      <alignment/>
    </xf>
    <xf numFmtId="174" fontId="86" fillId="0" borderId="0" xfId="0" applyNumberFormat="1" applyFont="1" applyAlignment="1">
      <alignment/>
    </xf>
    <xf numFmtId="174" fontId="86" fillId="0" borderId="18" xfId="0" applyNumberFormat="1" applyFont="1" applyBorder="1" applyAlignment="1">
      <alignment horizontal="center" vertical="center"/>
    </xf>
    <xf numFmtId="173" fontId="86" fillId="0" borderId="18" xfId="0" applyNumberFormat="1" applyFont="1" applyBorder="1" applyAlignment="1">
      <alignment horizontal="center" vertical="center"/>
    </xf>
    <xf numFmtId="173" fontId="86" fillId="0" borderId="19" xfId="0" applyNumberFormat="1" applyFont="1" applyBorder="1" applyAlignment="1">
      <alignment horizontal="center" vertical="center"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173" fontId="91" fillId="0" borderId="0" xfId="0" applyNumberFormat="1" applyFont="1" applyAlignment="1">
      <alignment/>
    </xf>
    <xf numFmtId="0" fontId="91" fillId="0" borderId="10" xfId="0" applyFont="1" applyBorder="1" applyAlignment="1">
      <alignment/>
    </xf>
    <xf numFmtId="0" fontId="91" fillId="0" borderId="11" xfId="0" applyFont="1" applyBorder="1" applyAlignment="1">
      <alignment/>
    </xf>
    <xf numFmtId="3" fontId="91" fillId="0" borderId="11" xfId="0" applyNumberFormat="1" applyFont="1" applyBorder="1" applyAlignment="1">
      <alignment/>
    </xf>
    <xf numFmtId="4" fontId="91" fillId="0" borderId="11" xfId="0" applyNumberFormat="1" applyFont="1" applyBorder="1" applyAlignment="1">
      <alignment/>
    </xf>
    <xf numFmtId="173" fontId="91" fillId="0" borderId="11" xfId="0" applyNumberFormat="1" applyFont="1" applyBorder="1" applyAlignment="1">
      <alignment/>
    </xf>
    <xf numFmtId="173" fontId="91" fillId="0" borderId="20" xfId="0" applyNumberFormat="1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13" xfId="0" applyFont="1" applyBorder="1" applyAlignment="1">
      <alignment/>
    </xf>
    <xf numFmtId="3" fontId="91" fillId="0" borderId="13" xfId="0" applyNumberFormat="1" applyFont="1" applyBorder="1" applyAlignment="1">
      <alignment/>
    </xf>
    <xf numFmtId="4" fontId="91" fillId="0" borderId="13" xfId="0" applyNumberFormat="1" applyFont="1" applyBorder="1" applyAlignment="1">
      <alignment/>
    </xf>
    <xf numFmtId="173" fontId="91" fillId="0" borderId="13" xfId="0" applyNumberFormat="1" applyFont="1" applyBorder="1" applyAlignment="1">
      <alignment/>
    </xf>
    <xf numFmtId="173" fontId="91" fillId="0" borderId="14" xfId="0" applyNumberFormat="1" applyFont="1" applyBorder="1" applyAlignment="1">
      <alignment/>
    </xf>
    <xf numFmtId="0" fontId="91" fillId="0" borderId="15" xfId="0" applyFont="1" applyBorder="1" applyAlignment="1">
      <alignment/>
    </xf>
    <xf numFmtId="0" fontId="91" fillId="0" borderId="16" xfId="0" applyFont="1" applyBorder="1" applyAlignment="1">
      <alignment/>
    </xf>
    <xf numFmtId="3" fontId="91" fillId="0" borderId="16" xfId="0" applyNumberFormat="1" applyFont="1" applyBorder="1" applyAlignment="1">
      <alignment/>
    </xf>
    <xf numFmtId="4" fontId="91" fillId="0" borderId="16" xfId="0" applyNumberFormat="1" applyFont="1" applyBorder="1" applyAlignment="1">
      <alignment/>
    </xf>
    <xf numFmtId="173" fontId="91" fillId="0" borderId="16" xfId="0" applyNumberFormat="1" applyFont="1" applyBorder="1" applyAlignment="1">
      <alignment/>
    </xf>
    <xf numFmtId="173" fontId="91" fillId="0" borderId="21" xfId="0" applyNumberFormat="1" applyFont="1" applyBorder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173" fontId="92" fillId="0" borderId="0" xfId="0" applyNumberFormat="1" applyFont="1" applyAlignment="1">
      <alignment/>
    </xf>
    <xf numFmtId="0" fontId="92" fillId="0" borderId="17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3" fontId="92" fillId="0" borderId="18" xfId="0" applyNumberFormat="1" applyFont="1" applyBorder="1" applyAlignment="1">
      <alignment horizontal="center" vertical="center" wrapText="1"/>
    </xf>
    <xf numFmtId="4" fontId="92" fillId="0" borderId="18" xfId="0" applyNumberFormat="1" applyFont="1" applyBorder="1" applyAlignment="1">
      <alignment horizontal="center" vertical="center" wrapText="1"/>
    </xf>
    <xf numFmtId="173" fontId="92" fillId="0" borderId="18" xfId="0" applyNumberFormat="1" applyFont="1" applyBorder="1" applyAlignment="1">
      <alignment horizontal="center" vertical="center" wrapText="1"/>
    </xf>
    <xf numFmtId="173" fontId="92" fillId="0" borderId="19" xfId="0" applyNumberFormat="1" applyFont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4" fontId="89" fillId="0" borderId="11" xfId="0" applyNumberFormat="1" applyFont="1" applyBorder="1" applyAlignment="1">
      <alignment/>
    </xf>
    <xf numFmtId="4" fontId="89" fillId="0" borderId="13" xfId="0" applyNumberFormat="1" applyFont="1" applyBorder="1" applyAlignment="1">
      <alignment/>
    </xf>
    <xf numFmtId="0" fontId="90" fillId="0" borderId="17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4" fontId="90" fillId="0" borderId="11" xfId="0" applyNumberFormat="1" applyFont="1" applyBorder="1" applyAlignment="1">
      <alignment/>
    </xf>
    <xf numFmtId="4" fontId="90" fillId="0" borderId="16" xfId="0" applyNumberFormat="1" applyFont="1" applyBorder="1" applyAlignment="1">
      <alignment/>
    </xf>
    <xf numFmtId="4" fontId="89" fillId="0" borderId="0" xfId="0" applyNumberFormat="1" applyFont="1" applyAlignment="1">
      <alignment horizontal="right"/>
    </xf>
    <xf numFmtId="4" fontId="90" fillId="0" borderId="16" xfId="0" applyNumberFormat="1" applyFont="1" applyBorder="1" applyAlignment="1">
      <alignment horizontal="right"/>
    </xf>
    <xf numFmtId="4" fontId="89" fillId="0" borderId="11" xfId="0" applyNumberFormat="1" applyFont="1" applyBorder="1" applyAlignment="1">
      <alignment horizontal="right"/>
    </xf>
    <xf numFmtId="4" fontId="90" fillId="0" borderId="11" xfId="0" applyNumberFormat="1" applyFont="1" applyBorder="1" applyAlignment="1">
      <alignment horizontal="right"/>
    </xf>
    <xf numFmtId="4" fontId="89" fillId="0" borderId="13" xfId="0" applyNumberFormat="1" applyFont="1" applyBorder="1" applyAlignment="1">
      <alignment horizontal="right"/>
    </xf>
    <xf numFmtId="172" fontId="90" fillId="0" borderId="21" xfId="0" applyNumberFormat="1" applyFont="1" applyBorder="1" applyAlignment="1">
      <alignment horizontal="right"/>
    </xf>
    <xf numFmtId="172" fontId="90" fillId="0" borderId="20" xfId="0" applyNumberFormat="1" applyFont="1" applyBorder="1" applyAlignment="1">
      <alignment horizontal="right"/>
    </xf>
    <xf numFmtId="172" fontId="89" fillId="0" borderId="20" xfId="0" applyNumberFormat="1" applyFont="1" applyBorder="1" applyAlignment="1">
      <alignment horizontal="right"/>
    </xf>
    <xf numFmtId="172" fontId="89" fillId="0" borderId="14" xfId="0" applyNumberFormat="1" applyFont="1" applyBorder="1" applyAlignment="1">
      <alignment horizontal="right"/>
    </xf>
    <xf numFmtId="4" fontId="90" fillId="0" borderId="0" xfId="0" applyNumberFormat="1" applyFont="1" applyAlignment="1">
      <alignment horizontal="right"/>
    </xf>
    <xf numFmtId="4" fontId="90" fillId="0" borderId="18" xfId="0" applyNumberFormat="1" applyFont="1" applyBorder="1" applyAlignment="1">
      <alignment horizontal="center" vertical="center" wrapText="1"/>
    </xf>
    <xf numFmtId="4" fontId="90" fillId="0" borderId="18" xfId="0" applyNumberFormat="1" applyFont="1" applyBorder="1" applyAlignment="1">
      <alignment horizontal="center" vertical="center"/>
    </xf>
    <xf numFmtId="172" fontId="90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86" fillId="0" borderId="11" xfId="0" applyNumberFormat="1" applyFont="1" applyBorder="1" applyAlignment="1">
      <alignment/>
    </xf>
    <xf numFmtId="4" fontId="86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86" fillId="0" borderId="16" xfId="0" applyNumberFormat="1" applyFont="1" applyBorder="1" applyAlignment="1">
      <alignment/>
    </xf>
    <xf numFmtId="4" fontId="86" fillId="0" borderId="21" xfId="0" applyNumberFormat="1" applyFont="1" applyBorder="1" applyAlignment="1">
      <alignment/>
    </xf>
    <xf numFmtId="4" fontId="86" fillId="0" borderId="18" xfId="0" applyNumberFormat="1" applyFont="1" applyBorder="1" applyAlignment="1">
      <alignment horizontal="center" vertical="center"/>
    </xf>
    <xf numFmtId="4" fontId="86" fillId="0" borderId="19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72" fontId="86" fillId="0" borderId="11" xfId="0" applyNumberFormat="1" applyFont="1" applyBorder="1" applyAlignment="1">
      <alignment/>
    </xf>
    <xf numFmtId="172" fontId="86" fillId="0" borderId="2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86" fillId="0" borderId="16" xfId="0" applyNumberFormat="1" applyFont="1" applyBorder="1" applyAlignment="1">
      <alignment/>
    </xf>
    <xf numFmtId="172" fontId="86" fillId="0" borderId="21" xfId="0" applyNumberFormat="1" applyFont="1" applyBorder="1" applyAlignment="1">
      <alignment/>
    </xf>
    <xf numFmtId="172" fontId="86" fillId="0" borderId="18" xfId="0" applyNumberFormat="1" applyFont="1" applyBorder="1" applyAlignment="1">
      <alignment horizontal="center" vertical="center"/>
    </xf>
    <xf numFmtId="172" fontId="86" fillId="0" borderId="19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173" fontId="2" fillId="0" borderId="2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3" fontId="3" fillId="0" borderId="2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91" fillId="0" borderId="10" xfId="0" applyFont="1" applyFill="1" applyBorder="1" applyAlignment="1">
      <alignment/>
    </xf>
    <xf numFmtId="0" fontId="91" fillId="0" borderId="11" xfId="0" applyFont="1" applyFill="1" applyBorder="1" applyAlignment="1">
      <alignment horizontal="left"/>
    </xf>
    <xf numFmtId="3" fontId="91" fillId="0" borderId="11" xfId="0" applyNumberFormat="1" applyFont="1" applyFill="1" applyBorder="1" applyAlignment="1">
      <alignment/>
    </xf>
    <xf numFmtId="4" fontId="91" fillId="0" borderId="11" xfId="0" applyNumberFormat="1" applyFont="1" applyFill="1" applyBorder="1" applyAlignment="1">
      <alignment/>
    </xf>
    <xf numFmtId="0" fontId="91" fillId="0" borderId="11" xfId="0" applyFont="1" applyFill="1" applyBorder="1" applyAlignment="1">
      <alignment/>
    </xf>
    <xf numFmtId="173" fontId="91" fillId="0" borderId="11" xfId="0" applyNumberFormat="1" applyFont="1" applyFill="1" applyBorder="1" applyAlignment="1">
      <alignment/>
    </xf>
    <xf numFmtId="173" fontId="91" fillId="0" borderId="20" xfId="0" applyNumberFormat="1" applyFont="1" applyFill="1" applyBorder="1" applyAlignment="1">
      <alignment/>
    </xf>
    <xf numFmtId="0" fontId="91" fillId="0" borderId="22" xfId="0" applyFont="1" applyFill="1" applyBorder="1" applyAlignment="1">
      <alignment/>
    </xf>
    <xf numFmtId="3" fontId="91" fillId="0" borderId="23" xfId="0" applyNumberFormat="1" applyFont="1" applyFill="1" applyBorder="1" applyAlignment="1">
      <alignment/>
    </xf>
    <xf numFmtId="173" fontId="91" fillId="0" borderId="24" xfId="0" applyNumberFormat="1" applyFont="1" applyFill="1" applyBorder="1" applyAlignment="1">
      <alignment/>
    </xf>
    <xf numFmtId="173" fontId="91" fillId="0" borderId="25" xfId="0" applyNumberFormat="1" applyFont="1" applyFill="1" applyBorder="1" applyAlignment="1">
      <alignment/>
    </xf>
    <xf numFmtId="0" fontId="89" fillId="0" borderId="0" xfId="0" applyFont="1" applyAlignment="1">
      <alignment vertical="center"/>
    </xf>
    <xf numFmtId="0" fontId="2" fillId="0" borderId="24" xfId="0" applyFont="1" applyFill="1" applyBorder="1" applyAlignment="1">
      <alignment/>
    </xf>
    <xf numFmtId="174" fontId="2" fillId="0" borderId="24" xfId="0" applyNumberFormat="1" applyFont="1" applyFill="1" applyBorder="1" applyAlignment="1">
      <alignment/>
    </xf>
    <xf numFmtId="173" fontId="2" fillId="0" borderId="24" xfId="0" applyNumberFormat="1" applyFont="1" applyFill="1" applyBorder="1" applyAlignment="1">
      <alignment/>
    </xf>
    <xf numFmtId="173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174" fontId="6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173" fontId="7" fillId="0" borderId="20" xfId="0" applyNumberFormat="1" applyFont="1" applyBorder="1" applyAlignment="1">
      <alignment/>
    </xf>
    <xf numFmtId="0" fontId="93" fillId="33" borderId="11" xfId="0" applyFont="1" applyFill="1" applyBorder="1" applyAlignment="1">
      <alignment/>
    </xf>
    <xf numFmtId="174" fontId="93" fillId="0" borderId="11" xfId="0" applyNumberFormat="1" applyFont="1" applyBorder="1" applyAlignment="1">
      <alignment/>
    </xf>
    <xf numFmtId="0" fontId="94" fillId="0" borderId="26" xfId="57" applyFont="1" applyBorder="1" applyAlignment="1">
      <alignment horizontal="center" vertical="center" wrapText="1"/>
      <protection/>
    </xf>
    <xf numFmtId="0" fontId="95" fillId="0" borderId="0" xfId="0" applyFont="1" applyAlignment="1">
      <alignment/>
    </xf>
    <xf numFmtId="0" fontId="96" fillId="0" borderId="26" xfId="57" applyFont="1" applyBorder="1" applyAlignment="1">
      <alignment horizontal="center" vertical="center"/>
      <protection/>
    </xf>
    <xf numFmtId="0" fontId="96" fillId="0" borderId="26" xfId="57" applyFont="1" applyBorder="1" applyAlignment="1">
      <alignment vertical="center"/>
      <protection/>
    </xf>
    <xf numFmtId="3" fontId="96" fillId="0" borderId="26" xfId="57" applyNumberFormat="1" applyFont="1" applyBorder="1" applyAlignment="1">
      <alignment horizontal="right" vertical="center"/>
      <protection/>
    </xf>
    <xf numFmtId="0" fontId="94" fillId="0" borderId="26" xfId="57" applyFont="1" applyBorder="1" applyAlignment="1">
      <alignment vertical="center"/>
      <protection/>
    </xf>
    <xf numFmtId="3" fontId="94" fillId="0" borderId="26" xfId="57" applyNumberFormat="1" applyFont="1" applyBorder="1" applyAlignment="1">
      <alignment horizontal="right" vertical="center"/>
      <protection/>
    </xf>
    <xf numFmtId="3" fontId="97" fillId="33" borderId="26" xfId="57" applyNumberFormat="1" applyFont="1" applyFill="1" applyBorder="1" applyAlignment="1">
      <alignment horizontal="right" vertical="center"/>
      <protection/>
    </xf>
    <xf numFmtId="0" fontId="98" fillId="33" borderId="0" xfId="0" applyFont="1" applyFill="1" applyAlignment="1">
      <alignment horizontal="center"/>
    </xf>
    <xf numFmtId="0" fontId="87" fillId="33" borderId="0" xfId="0" applyFont="1" applyFill="1" applyAlignment="1">
      <alignment/>
    </xf>
    <xf numFmtId="0" fontId="99" fillId="13" borderId="0" xfId="0" applyFont="1" applyFill="1" applyAlignment="1">
      <alignment/>
    </xf>
    <xf numFmtId="0" fontId="86" fillId="0" borderId="0" xfId="0" applyFont="1" applyAlignment="1">
      <alignment horizont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172" fontId="90" fillId="0" borderId="0" xfId="0" applyNumberFormat="1" applyFont="1" applyAlignment="1">
      <alignment horizontal="right" vertical="center"/>
    </xf>
    <xf numFmtId="173" fontId="90" fillId="0" borderId="0" xfId="0" applyNumberFormat="1" applyFont="1" applyAlignment="1">
      <alignment vertical="center"/>
    </xf>
    <xf numFmtId="3" fontId="9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172" fontId="89" fillId="0" borderId="0" xfId="0" applyNumberFormat="1" applyFont="1" applyAlignment="1">
      <alignment horizontal="right" vertical="center"/>
    </xf>
    <xf numFmtId="173" fontId="89" fillId="0" borderId="0" xfId="0" applyNumberFormat="1" applyFont="1" applyAlignment="1">
      <alignment vertical="center"/>
    </xf>
    <xf numFmtId="3" fontId="89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0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3" fontId="101" fillId="0" borderId="0" xfId="0" applyNumberFormat="1" applyFont="1" applyAlignment="1">
      <alignment/>
    </xf>
    <xf numFmtId="173" fontId="9" fillId="0" borderId="11" xfId="0" applyNumberFormat="1" applyFont="1" applyFill="1" applyBorder="1" applyAlignment="1">
      <alignment vertical="center"/>
    </xf>
    <xf numFmtId="0" fontId="10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7" fillId="13" borderId="0" xfId="0" applyFont="1" applyFill="1" applyAlignment="1">
      <alignment vertical="center"/>
    </xf>
    <xf numFmtId="0" fontId="99" fillId="11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1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73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73" fontId="15" fillId="0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173" fontId="12" fillId="0" borderId="18" xfId="0" applyNumberFormat="1" applyFont="1" applyFill="1" applyBorder="1" applyAlignment="1">
      <alignment horizontal="center" vertical="center" wrapText="1"/>
    </xf>
    <xf numFmtId="173" fontId="12" fillId="0" borderId="18" xfId="0" applyNumberFormat="1" applyFont="1" applyFill="1" applyBorder="1" applyAlignment="1">
      <alignment horizontal="center" vertical="center"/>
    </xf>
    <xf numFmtId="173" fontId="12" fillId="0" borderId="19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173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horizontal="center"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 vertical="center"/>
    </xf>
    <xf numFmtId="173" fontId="9" fillId="0" borderId="0" xfId="0" applyNumberFormat="1" applyFont="1" applyFill="1" applyAlignment="1">
      <alignment vertical="center"/>
    </xf>
    <xf numFmtId="17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center" vertical="center"/>
    </xf>
    <xf numFmtId="173" fontId="9" fillId="0" borderId="0" xfId="0" applyNumberFormat="1" applyFont="1" applyFill="1" applyAlignment="1">
      <alignment horizontal="right" vertical="center"/>
    </xf>
    <xf numFmtId="173" fontId="9" fillId="0" borderId="0" xfId="0" applyNumberFormat="1" applyFont="1" applyFill="1" applyAlignment="1" quotePrefix="1">
      <alignment horizontal="right" vertical="center"/>
    </xf>
    <xf numFmtId="175" fontId="9" fillId="0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2" fillId="0" borderId="0" xfId="61" applyFont="1" applyFill="1" applyAlignment="1">
      <alignment horizontal="center" vertical="center"/>
    </xf>
    <xf numFmtId="0" fontId="2" fillId="0" borderId="0" xfId="61" applyFont="1" applyFill="1" applyAlignment="1">
      <alignment vertical="center"/>
    </xf>
    <xf numFmtId="0" fontId="17" fillId="0" borderId="0" xfId="61" applyFont="1" applyFill="1" applyAlignment="1">
      <alignment horizontal="center" vertical="center"/>
    </xf>
    <xf numFmtId="0" fontId="13" fillId="0" borderId="0" xfId="61" applyFont="1" applyFill="1" applyAlignment="1">
      <alignment vertical="center"/>
    </xf>
    <xf numFmtId="3" fontId="17" fillId="0" borderId="0" xfId="61" applyNumberFormat="1" applyFont="1" applyFill="1" applyAlignment="1">
      <alignment horizontal="center" vertical="center"/>
    </xf>
    <xf numFmtId="0" fontId="13" fillId="0" borderId="0" xfId="61" applyFont="1" applyFill="1" applyAlignment="1">
      <alignment horizontal="center" vertical="center"/>
    </xf>
    <xf numFmtId="0" fontId="2" fillId="0" borderId="0" xfId="61" applyFont="1" applyFill="1" applyAlignment="1">
      <alignment horizontal="left" vertical="center"/>
    </xf>
    <xf numFmtId="0" fontId="18" fillId="0" borderId="0" xfId="61" applyFont="1" applyFill="1" applyAlignment="1">
      <alignment horizontal="center" vertical="center"/>
    </xf>
    <xf numFmtId="0" fontId="19" fillId="0" borderId="0" xfId="61" applyFont="1" applyFill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 quotePrefix="1">
      <alignment vertical="center" wrapText="1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173" fontId="9" fillId="0" borderId="24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20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173" fontId="9" fillId="0" borderId="13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vertical="center"/>
    </xf>
    <xf numFmtId="173" fontId="12" fillId="34" borderId="27" xfId="0" applyNumberFormat="1" applyFont="1" applyFill="1" applyBorder="1" applyAlignment="1">
      <alignment horizontal="center" vertical="center"/>
    </xf>
    <xf numFmtId="3" fontId="12" fillId="34" borderId="27" xfId="0" applyNumberFormat="1" applyFont="1" applyFill="1" applyBorder="1" applyAlignment="1">
      <alignment horizontal="center" vertical="center"/>
    </xf>
    <xf numFmtId="3" fontId="12" fillId="34" borderId="28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0" fontId="12" fillId="34" borderId="16" xfId="0" applyFont="1" applyFill="1" applyBorder="1" applyAlignment="1">
      <alignment horizontal="center" vertical="center"/>
    </xf>
    <xf numFmtId="172" fontId="12" fillId="34" borderId="16" xfId="0" applyNumberFormat="1" applyFont="1" applyFill="1" applyBorder="1" applyAlignment="1">
      <alignment horizontal="right" vertical="center"/>
    </xf>
    <xf numFmtId="173" fontId="12" fillId="34" borderId="16" xfId="0" applyNumberFormat="1" applyFont="1" applyFill="1" applyBorder="1" applyAlignment="1">
      <alignment vertical="center"/>
    </xf>
    <xf numFmtId="3" fontId="12" fillId="34" borderId="16" xfId="0" applyNumberFormat="1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172" fontId="10" fillId="34" borderId="11" xfId="0" applyNumberFormat="1" applyFont="1" applyFill="1" applyBorder="1" applyAlignment="1">
      <alignment horizontal="right" vertical="center"/>
    </xf>
    <xf numFmtId="173" fontId="9" fillId="34" borderId="11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3" fontId="9" fillId="34" borderId="20" xfId="0" applyNumberFormat="1" applyFont="1" applyFill="1" applyBorder="1" applyAlignment="1">
      <alignment vertical="center"/>
    </xf>
    <xf numFmtId="172" fontId="9" fillId="34" borderId="11" xfId="0" applyNumberFormat="1" applyFont="1" applyFill="1" applyBorder="1" applyAlignment="1">
      <alignment horizontal="right" vertical="center"/>
    </xf>
    <xf numFmtId="172" fontId="10" fillId="34" borderId="11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right" vertical="center"/>
    </xf>
    <xf numFmtId="173" fontId="12" fillId="34" borderId="11" xfId="0" applyNumberFormat="1" applyFont="1" applyFill="1" applyBorder="1" applyAlignment="1">
      <alignment vertical="center"/>
    </xf>
    <xf numFmtId="3" fontId="12" fillId="34" borderId="11" xfId="0" applyNumberFormat="1" applyFont="1" applyFill="1" applyBorder="1" applyAlignment="1">
      <alignment vertical="center"/>
    </xf>
    <xf numFmtId="3" fontId="12" fillId="34" borderId="2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172" fontId="10" fillId="34" borderId="24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172" fontId="9" fillId="34" borderId="13" xfId="0" applyNumberFormat="1" applyFont="1" applyFill="1" applyBorder="1" applyAlignment="1">
      <alignment horizontal="right" vertical="center"/>
    </xf>
    <xf numFmtId="173" fontId="9" fillId="34" borderId="13" xfId="0" applyNumberFormat="1" applyFont="1" applyFill="1" applyBorder="1" applyAlignment="1">
      <alignment vertical="center"/>
    </xf>
    <xf numFmtId="3" fontId="9" fillId="34" borderId="13" xfId="0" applyNumberFormat="1" applyFont="1" applyFill="1" applyBorder="1" applyAlignment="1">
      <alignment vertical="center"/>
    </xf>
    <xf numFmtId="3" fontId="9" fillId="34" borderId="14" xfId="0" applyNumberFormat="1" applyFont="1" applyFill="1" applyBorder="1" applyAlignment="1">
      <alignment vertical="center"/>
    </xf>
    <xf numFmtId="0" fontId="89" fillId="34" borderId="0" xfId="0" applyFont="1" applyFill="1" applyAlignment="1">
      <alignment vertical="center"/>
    </xf>
    <xf numFmtId="174" fontId="0" fillId="34" borderId="11" xfId="0" applyNumberFormat="1" applyFont="1" applyFill="1" applyBorder="1" applyAlignment="1">
      <alignment/>
    </xf>
    <xf numFmtId="173" fontId="0" fillId="34" borderId="11" xfId="0" applyNumberFormat="1" applyFont="1" applyFill="1" applyBorder="1" applyAlignment="1">
      <alignment/>
    </xf>
    <xf numFmtId="173" fontId="0" fillId="34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74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20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8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1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2" fillId="0" borderId="18" xfId="0" applyFont="1" applyBorder="1" applyAlignment="1">
      <alignment horizontal="left" vertical="center" wrapText="1"/>
    </xf>
    <xf numFmtId="0" fontId="91" fillId="0" borderId="16" xfId="0" applyFont="1" applyBorder="1" applyAlignment="1">
      <alignment horizontal="left"/>
    </xf>
    <xf numFmtId="0" fontId="91" fillId="0" borderId="11" xfId="0" applyFont="1" applyBorder="1" applyAlignment="1">
      <alignment horizontal="left"/>
    </xf>
    <xf numFmtId="0" fontId="91" fillId="0" borderId="13" xfId="0" applyFont="1" applyBorder="1" applyAlignment="1">
      <alignment horizontal="left"/>
    </xf>
    <xf numFmtId="3" fontId="2" fillId="34" borderId="26" xfId="0" applyNumberFormat="1" applyFont="1" applyFill="1" applyBorder="1" applyAlignment="1">
      <alignment/>
    </xf>
    <xf numFmtId="3" fontId="86" fillId="0" borderId="26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172" fontId="31" fillId="0" borderId="0" xfId="0" applyNumberFormat="1" applyFont="1" applyAlignment="1">
      <alignment horizontal="right"/>
    </xf>
    <xf numFmtId="173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2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173" fontId="25" fillId="0" borderId="26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vertical="center" wrapText="1"/>
    </xf>
    <xf numFmtId="3" fontId="26" fillId="0" borderId="26" xfId="0" applyNumberFormat="1" applyFont="1" applyBorder="1" applyAlignment="1">
      <alignment vertical="center"/>
    </xf>
    <xf numFmtId="173" fontId="26" fillId="0" borderId="26" xfId="0" applyNumberFormat="1" applyFont="1" applyBorder="1" applyAlignment="1">
      <alignment/>
    </xf>
    <xf numFmtId="173" fontId="26" fillId="0" borderId="26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/>
    </xf>
    <xf numFmtId="0" fontId="25" fillId="0" borderId="26" xfId="0" applyFont="1" applyBorder="1" applyAlignment="1">
      <alignment vertical="center" wrapText="1"/>
    </xf>
    <xf numFmtId="173" fontId="26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 wrapText="1"/>
    </xf>
    <xf numFmtId="173" fontId="26" fillId="0" borderId="26" xfId="0" applyNumberFormat="1" applyFont="1" applyFill="1" applyBorder="1" applyAlignment="1">
      <alignment horizontal="center" vertical="center" wrapText="1"/>
    </xf>
    <xf numFmtId="173" fontId="26" fillId="0" borderId="26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 wrapText="1"/>
    </xf>
    <xf numFmtId="172" fontId="25" fillId="0" borderId="29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26" fillId="0" borderId="26" xfId="0" applyFont="1" applyBorder="1" applyAlignment="1">
      <alignment horizontal="center"/>
    </xf>
    <xf numFmtId="172" fontId="26" fillId="0" borderId="26" xfId="0" applyNumberFormat="1" applyFont="1" applyBorder="1" applyAlignment="1">
      <alignment vertical="center" wrapText="1"/>
    </xf>
    <xf numFmtId="172" fontId="27" fillId="0" borderId="0" xfId="0" applyNumberFormat="1" applyFont="1" applyAlignment="1">
      <alignment horizontal="right"/>
    </xf>
    <xf numFmtId="17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102" fillId="0" borderId="0" xfId="0" applyNumberFormat="1" applyFont="1" applyAlignment="1">
      <alignment horizontal="right"/>
    </xf>
    <xf numFmtId="0" fontId="3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9" fillId="13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2" fontId="26" fillId="0" borderId="30" xfId="0" applyNumberFormat="1" applyFont="1" applyBorder="1" applyAlignment="1">
      <alignment horizontal="center" vertical="center" wrapText="1"/>
    </xf>
    <xf numFmtId="172" fontId="26" fillId="0" borderId="29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61" applyFont="1" applyFill="1" applyAlignment="1">
      <alignment horizontal="center" vertical="center"/>
    </xf>
    <xf numFmtId="0" fontId="3" fillId="0" borderId="0" xfId="61" applyFont="1" applyFill="1" applyAlignment="1">
      <alignment horizontal="center" vertical="center"/>
    </xf>
    <xf numFmtId="0" fontId="13" fillId="0" borderId="0" xfId="61" applyFont="1" applyFill="1" applyAlignment="1">
      <alignment horizontal="center" vertical="center"/>
    </xf>
    <xf numFmtId="0" fontId="103" fillId="0" borderId="31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2" fillId="34" borderId="3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 wrapText="1"/>
    </xf>
    <xf numFmtId="172" fontId="12" fillId="34" borderId="32" xfId="0" applyNumberFormat="1" applyFont="1" applyFill="1" applyBorder="1" applyAlignment="1">
      <alignment horizontal="center" vertical="center" wrapText="1"/>
    </xf>
    <xf numFmtId="173" fontId="12" fillId="34" borderId="33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3" fontId="12" fillId="34" borderId="33" xfId="0" applyNumberFormat="1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5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Ghi%20chu%20tuyen%20duong%20Ngo%20Tat%20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TT%20KHAO%20SAT-%20DUONG%20NGO%20TAT%20TO%2024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du toan (2)"/>
      <sheetName val="Thuyet minh"/>
      <sheetName val="Tong du toan"/>
      <sheetName val="CP Xay lap"/>
      <sheetName val="Du toan chi tiet"/>
      <sheetName val="Phan tich don gia"/>
      <sheetName val="Gia NC,CM"/>
      <sheetName val="Gia VL"/>
      <sheetName val="KL,Tien luong"/>
      <sheetName val="Tong hop KL VL,NC,M"/>
      <sheetName val="Phan tich KL VL,NC,M"/>
    </sheetNames>
    <sheetDataSet>
      <sheetData sheetId="6">
        <row r="8">
          <cell r="P8">
            <v>218559.2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toan tke"/>
      <sheetName val="CP Xay lap1"/>
      <sheetName val="Du toan chi tiet"/>
      <sheetName val="Phan tich don gia"/>
      <sheetName val="Gia NC,CM"/>
      <sheetName val="Gia VL"/>
    </sheetNames>
    <sheetDataSet>
      <sheetData sheetId="1">
        <row r="22">
          <cell r="E22">
            <v>16198000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6" sqref="C26"/>
    </sheetView>
  </sheetViews>
  <sheetFormatPr defaultColWidth="8.796875" defaultRowHeight="15"/>
  <cols>
    <col min="1" max="1" width="85.3984375" style="0" customWidth="1"/>
    <col min="2" max="2" width="38.19921875" style="0" customWidth="1"/>
  </cols>
  <sheetData>
    <row r="1" spans="1:7" ht="16.5">
      <c r="A1" s="177" t="s">
        <v>583</v>
      </c>
      <c r="B1" s="178"/>
      <c r="C1" s="178"/>
      <c r="D1" s="178"/>
      <c r="E1" s="178"/>
      <c r="F1" s="178"/>
      <c r="G1" s="178"/>
    </row>
    <row r="2" s="200" customFormat="1" ht="19.5" customHeight="1">
      <c r="A2" s="200" t="s">
        <v>585</v>
      </c>
    </row>
    <row r="3" s="200" customFormat="1" ht="19.5" customHeight="1">
      <c r="A3" s="201"/>
    </row>
    <row r="4" s="200" customFormat="1" ht="19.5" customHeight="1">
      <c r="A4" s="200" t="s">
        <v>587</v>
      </c>
    </row>
    <row r="5" s="200" customFormat="1" ht="19.5" customHeight="1">
      <c r="A5" s="202" t="s">
        <v>584</v>
      </c>
    </row>
    <row r="6" s="200" customFormat="1" ht="19.5" customHeight="1">
      <c r="A6" s="200" t="s">
        <v>615</v>
      </c>
    </row>
    <row r="7" s="200" customFormat="1" ht="19.5" customHeight="1">
      <c r="A7" s="200" t="s">
        <v>611</v>
      </c>
    </row>
    <row r="8" s="200" customFormat="1" ht="19.5" customHeight="1">
      <c r="A8" s="200" t="s">
        <v>614</v>
      </c>
    </row>
    <row r="12" spans="1:7" s="179" customFormat="1" ht="15">
      <c r="A12" s="405"/>
      <c r="B12" s="405"/>
      <c r="C12" s="405"/>
      <c r="D12" s="405"/>
      <c r="E12" s="405"/>
      <c r="F12" s="405"/>
      <c r="G12" s="405"/>
    </row>
    <row r="13" s="179" customFormat="1" ht="15"/>
  </sheetData>
  <sheetProtection/>
  <mergeCells count="1"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0"/>
  <sheetViews>
    <sheetView showGridLines="0" showZeros="0" zoomScale="130" zoomScaleNormal="130" zoomScalePageLayoutView="0" workbookViewId="0" topLeftCell="A16">
      <selection activeCell="I68" sqref="I68"/>
    </sheetView>
  </sheetViews>
  <sheetFormatPr defaultColWidth="8.796875" defaultRowHeight="15"/>
  <cols>
    <col min="1" max="1" width="3.59765625" style="238" customWidth="1"/>
    <col min="2" max="2" width="19.59765625" style="199" customWidth="1"/>
    <col min="3" max="3" width="4.09765625" style="199" customWidth="1"/>
    <col min="4" max="4" width="15.5" style="199" bestFit="1" customWidth="1"/>
    <col min="5" max="5" width="10.3984375" style="199" customWidth="1"/>
    <col min="6" max="8" width="3.5" style="239" customWidth="1"/>
    <col min="9" max="9" width="4.59765625" style="239" customWidth="1"/>
    <col min="10" max="10" width="7" style="236" customWidth="1"/>
    <col min="11" max="12" width="4.3984375" style="240" customWidth="1"/>
    <col min="13" max="13" width="5" style="240" customWidth="1"/>
    <col min="14" max="14" width="4.3984375" style="240" customWidth="1"/>
    <col min="15" max="16" width="9.3984375" style="236" customWidth="1"/>
    <col min="17" max="18" width="10.8984375" style="236" customWidth="1"/>
    <col min="19" max="16384" width="9" style="199" customWidth="1"/>
  </cols>
  <sheetData>
    <row r="1" spans="1:18" ht="21" customHeight="1">
      <c r="A1" s="437" t="s">
        <v>426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</row>
    <row r="2" spans="1:18" ht="14.25">
      <c r="A2" s="211"/>
      <c r="B2" s="212"/>
      <c r="C2" s="212"/>
      <c r="D2" s="212"/>
      <c r="E2" s="212"/>
      <c r="F2" s="213"/>
      <c r="G2" s="213"/>
      <c r="H2" s="213"/>
      <c r="I2" s="213"/>
      <c r="J2" s="214"/>
      <c r="K2" s="215"/>
      <c r="L2" s="215"/>
      <c r="M2" s="215"/>
      <c r="N2" s="215"/>
      <c r="O2" s="214"/>
      <c r="P2" s="214"/>
      <c r="Q2" s="214"/>
      <c r="R2" s="214"/>
    </row>
    <row r="3" spans="1:18" s="216" customFormat="1" ht="20.25" customHeight="1">
      <c r="A3" s="438" t="s">
        <v>566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18" s="216" customFormat="1" ht="20.25" customHeight="1">
      <c r="A4" s="438" t="s">
        <v>586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</row>
    <row r="5" spans="1:18" s="216" customFormat="1" ht="20.25" customHeight="1">
      <c r="A5" s="438" t="s">
        <v>567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</row>
    <row r="6" spans="1:18" ht="15" thickBot="1">
      <c r="A6" s="211"/>
      <c r="B6" s="212"/>
      <c r="C6" s="212"/>
      <c r="D6" s="212"/>
      <c r="E6" s="212"/>
      <c r="F6" s="213"/>
      <c r="G6" s="213"/>
      <c r="H6" s="213"/>
      <c r="I6" s="213"/>
      <c r="J6" s="214"/>
      <c r="K6" s="215"/>
      <c r="L6" s="215"/>
      <c r="M6" s="215"/>
      <c r="N6" s="215"/>
      <c r="O6" s="214"/>
      <c r="P6" s="214"/>
      <c r="Q6" s="214"/>
      <c r="R6" s="214"/>
    </row>
    <row r="7" spans="1:18" ht="45" customHeight="1">
      <c r="A7" s="217" t="s">
        <v>262</v>
      </c>
      <c r="B7" s="218" t="s">
        <v>427</v>
      </c>
      <c r="C7" s="219" t="s">
        <v>399</v>
      </c>
      <c r="D7" s="218" t="s">
        <v>428</v>
      </c>
      <c r="E7" s="218" t="s">
        <v>429</v>
      </c>
      <c r="F7" s="220" t="s">
        <v>430</v>
      </c>
      <c r="G7" s="220" t="s">
        <v>431</v>
      </c>
      <c r="H7" s="220" t="s">
        <v>432</v>
      </c>
      <c r="I7" s="220" t="s">
        <v>433</v>
      </c>
      <c r="J7" s="221" t="s">
        <v>434</v>
      </c>
      <c r="K7" s="222" t="s">
        <v>637</v>
      </c>
      <c r="L7" s="222" t="s">
        <v>435</v>
      </c>
      <c r="M7" s="222" t="s">
        <v>436</v>
      </c>
      <c r="N7" s="222" t="s">
        <v>437</v>
      </c>
      <c r="O7" s="223" t="s">
        <v>438</v>
      </c>
      <c r="P7" s="223" t="s">
        <v>439</v>
      </c>
      <c r="Q7" s="224" t="s">
        <v>440</v>
      </c>
      <c r="R7" s="225" t="s">
        <v>441</v>
      </c>
    </row>
    <row r="8" spans="1:18" ht="14.25">
      <c r="A8" s="226">
        <v>1</v>
      </c>
      <c r="B8" s="227" t="s">
        <v>382</v>
      </c>
      <c r="C8" s="227" t="s">
        <v>123</v>
      </c>
      <c r="D8" s="227" t="s">
        <v>0</v>
      </c>
      <c r="E8" s="227" t="s">
        <v>0</v>
      </c>
      <c r="F8" s="228" t="s">
        <v>0</v>
      </c>
      <c r="G8" s="228" t="s">
        <v>0</v>
      </c>
      <c r="H8" s="228"/>
      <c r="I8" s="228" t="s">
        <v>349</v>
      </c>
      <c r="J8" s="229"/>
      <c r="K8" s="230"/>
      <c r="L8" s="230"/>
      <c r="M8" s="230"/>
      <c r="N8" s="230"/>
      <c r="O8" s="231"/>
      <c r="P8" s="231"/>
      <c r="Q8" s="231">
        <v>12000</v>
      </c>
      <c r="R8" s="232">
        <f aca="true" t="shared" si="0" ref="R8:R70">O8+P8+Q8</f>
        <v>12000</v>
      </c>
    </row>
    <row r="9" spans="1:18" ht="14.25">
      <c r="A9" s="203">
        <v>2</v>
      </c>
      <c r="B9" s="205" t="s">
        <v>381</v>
      </c>
      <c r="C9" s="205" t="s">
        <v>25</v>
      </c>
      <c r="D9" s="205" t="s">
        <v>0</v>
      </c>
      <c r="E9" s="205" t="s">
        <v>0</v>
      </c>
      <c r="F9" s="206" t="s">
        <v>0</v>
      </c>
      <c r="G9" s="206" t="s">
        <v>0</v>
      </c>
      <c r="H9" s="206"/>
      <c r="I9" s="206">
        <f>SUM(H10:H11)</f>
        <v>4</v>
      </c>
      <c r="J9" s="197"/>
      <c r="K9" s="207"/>
      <c r="L9" s="207"/>
      <c r="M9" s="207"/>
      <c r="N9" s="207"/>
      <c r="O9" s="231">
        <f>SUM(O10:O11)</f>
        <v>25578.5</v>
      </c>
      <c r="P9" s="208"/>
      <c r="Q9" s="208">
        <v>181818</v>
      </c>
      <c r="R9" s="209">
        <f t="shared" si="0"/>
        <v>207396.5</v>
      </c>
    </row>
    <row r="10" spans="1:18" ht="14.25">
      <c r="A10" s="203"/>
      <c r="B10" s="205"/>
      <c r="C10" s="205"/>
      <c r="D10" s="205" t="s">
        <v>610</v>
      </c>
      <c r="E10" s="205"/>
      <c r="F10" s="206"/>
      <c r="G10" s="206" t="s">
        <v>468</v>
      </c>
      <c r="H10" s="206">
        <v>1</v>
      </c>
      <c r="I10" s="206"/>
      <c r="J10" s="197">
        <f>'Phan tich don gia'!G374/10</f>
        <v>5910.07992</v>
      </c>
      <c r="K10" s="207">
        <v>1.35</v>
      </c>
      <c r="L10" s="207"/>
      <c r="M10" s="207"/>
      <c r="N10" s="207"/>
      <c r="O10" s="197">
        <f>ROUND(J10*K10*H10,1)</f>
        <v>7978.6</v>
      </c>
      <c r="P10" s="208"/>
      <c r="Q10" s="208"/>
      <c r="R10" s="209"/>
    </row>
    <row r="11" spans="1:18" ht="14.25">
      <c r="A11" s="203"/>
      <c r="B11" s="205"/>
      <c r="C11" s="205"/>
      <c r="D11" s="205"/>
      <c r="E11" s="205" t="s">
        <v>467</v>
      </c>
      <c r="F11" s="206"/>
      <c r="G11" s="206" t="s">
        <v>468</v>
      </c>
      <c r="H11" s="206">
        <v>3</v>
      </c>
      <c r="I11" s="206"/>
      <c r="J11" s="197">
        <f>'Phan tich don gia'!G379/10</f>
        <v>4345.647</v>
      </c>
      <c r="K11" s="207">
        <v>1.35</v>
      </c>
      <c r="L11" s="207"/>
      <c r="M11" s="207"/>
      <c r="N11" s="207"/>
      <c r="O11" s="197">
        <f>ROUND(J11*K11*H11,1)</f>
        <v>17599.9</v>
      </c>
      <c r="P11" s="208"/>
      <c r="Q11" s="208"/>
      <c r="R11" s="209"/>
    </row>
    <row r="12" spans="1:18" ht="14.25">
      <c r="A12" s="203">
        <v>3</v>
      </c>
      <c r="B12" s="205" t="s">
        <v>380</v>
      </c>
      <c r="C12" s="205" t="s">
        <v>25</v>
      </c>
      <c r="D12" s="205" t="s">
        <v>0</v>
      </c>
      <c r="E12" s="205" t="s">
        <v>0</v>
      </c>
      <c r="F12" s="206" t="s">
        <v>2</v>
      </c>
      <c r="G12" s="206" t="s">
        <v>0</v>
      </c>
      <c r="H12" s="206"/>
      <c r="I12" s="206">
        <f>SUM(H13:H14)</f>
        <v>5</v>
      </c>
      <c r="J12" s="197"/>
      <c r="K12" s="207"/>
      <c r="L12" s="207"/>
      <c r="M12" s="207"/>
      <c r="N12" s="207"/>
      <c r="O12" s="231">
        <f>SUM(O13:O14)</f>
        <v>24170.5</v>
      </c>
      <c r="P12" s="208"/>
      <c r="Q12" s="208">
        <v>350000</v>
      </c>
      <c r="R12" s="209">
        <f t="shared" si="0"/>
        <v>374170.5</v>
      </c>
    </row>
    <row r="13" spans="1:18" ht="14.25">
      <c r="A13" s="203"/>
      <c r="B13" s="205"/>
      <c r="C13" s="205"/>
      <c r="D13" s="205" t="s">
        <v>532</v>
      </c>
      <c r="E13" s="205"/>
      <c r="F13" s="206"/>
      <c r="G13" s="206" t="s">
        <v>468</v>
      </c>
      <c r="H13" s="206">
        <v>1</v>
      </c>
      <c r="I13" s="206"/>
      <c r="J13" s="197">
        <f>'Phan tich don gia'!G359/10</f>
        <v>4693.29876</v>
      </c>
      <c r="K13" s="207">
        <v>1.35</v>
      </c>
      <c r="L13" s="207"/>
      <c r="M13" s="207"/>
      <c r="N13" s="207"/>
      <c r="O13" s="197">
        <f>ROUND(J13*K13*H13,1)</f>
        <v>6336</v>
      </c>
      <c r="P13" s="208"/>
      <c r="Q13" s="208"/>
      <c r="R13" s="209"/>
    </row>
    <row r="14" spans="1:18" ht="14.25">
      <c r="A14" s="203"/>
      <c r="B14" s="205"/>
      <c r="C14" s="205"/>
      <c r="D14" s="205"/>
      <c r="E14" s="205" t="s">
        <v>467</v>
      </c>
      <c r="F14" s="206"/>
      <c r="G14" s="206" t="s">
        <v>468</v>
      </c>
      <c r="H14" s="206">
        <v>4</v>
      </c>
      <c r="I14" s="206"/>
      <c r="J14" s="197">
        <f>'Phan tich don gia'!G364/10</f>
        <v>3302.6917200000003</v>
      </c>
      <c r="K14" s="207">
        <v>1.35</v>
      </c>
      <c r="L14" s="207"/>
      <c r="M14" s="207"/>
      <c r="N14" s="207"/>
      <c r="O14" s="197">
        <f>ROUND(J14*K14*H14,1)</f>
        <v>17834.5</v>
      </c>
      <c r="P14" s="208"/>
      <c r="Q14" s="208"/>
      <c r="R14" s="209"/>
    </row>
    <row r="15" spans="1:18" ht="14.25">
      <c r="A15" s="203">
        <v>4</v>
      </c>
      <c r="B15" s="205" t="s">
        <v>379</v>
      </c>
      <c r="C15" s="205" t="s">
        <v>25</v>
      </c>
      <c r="D15" s="205" t="s">
        <v>0</v>
      </c>
      <c r="E15" s="205" t="s">
        <v>0</v>
      </c>
      <c r="F15" s="206" t="s">
        <v>2</v>
      </c>
      <c r="G15" s="206" t="s">
        <v>0</v>
      </c>
      <c r="H15" s="206"/>
      <c r="I15" s="206">
        <f>I12</f>
        <v>5</v>
      </c>
      <c r="J15" s="197"/>
      <c r="K15" s="207"/>
      <c r="L15" s="207"/>
      <c r="M15" s="207"/>
      <c r="N15" s="207"/>
      <c r="O15" s="197">
        <f>O12</f>
        <v>24170.5</v>
      </c>
      <c r="P15" s="208">
        <f>P12</f>
        <v>0</v>
      </c>
      <c r="Q15" s="208">
        <v>350000</v>
      </c>
      <c r="R15" s="209">
        <f t="shared" si="0"/>
        <v>374170.5</v>
      </c>
    </row>
    <row r="16" spans="1:18" ht="14.25">
      <c r="A16" s="203">
        <v>5</v>
      </c>
      <c r="B16" s="205" t="s">
        <v>378</v>
      </c>
      <c r="C16" s="205" t="s">
        <v>25</v>
      </c>
      <c r="D16" s="205" t="s">
        <v>0</v>
      </c>
      <c r="E16" s="205" t="s">
        <v>0</v>
      </c>
      <c r="F16" s="206" t="s">
        <v>2</v>
      </c>
      <c r="G16" s="206" t="s">
        <v>0</v>
      </c>
      <c r="H16" s="206"/>
      <c r="I16" s="206">
        <f>I12</f>
        <v>5</v>
      </c>
      <c r="J16" s="197"/>
      <c r="K16" s="207"/>
      <c r="L16" s="207"/>
      <c r="M16" s="207"/>
      <c r="N16" s="207"/>
      <c r="O16" s="208">
        <f>O12</f>
        <v>24170.5</v>
      </c>
      <c r="P16" s="208"/>
      <c r="Q16" s="208">
        <v>370000</v>
      </c>
      <c r="R16" s="209">
        <f t="shared" si="0"/>
        <v>394170.5</v>
      </c>
    </row>
    <row r="17" spans="1:18" ht="14.25">
      <c r="A17" s="203">
        <v>6</v>
      </c>
      <c r="B17" s="233" t="s">
        <v>463</v>
      </c>
      <c r="C17" s="205" t="s">
        <v>25</v>
      </c>
      <c r="D17" s="205" t="s">
        <v>0</v>
      </c>
      <c r="E17" s="205" t="s">
        <v>0</v>
      </c>
      <c r="F17" s="206" t="s">
        <v>2</v>
      </c>
      <c r="G17" s="206" t="s">
        <v>0</v>
      </c>
      <c r="H17" s="206"/>
      <c r="I17" s="206">
        <f>SUM(H18:H20)</f>
        <v>17</v>
      </c>
      <c r="J17" s="229"/>
      <c r="K17" s="230"/>
      <c r="L17" s="230"/>
      <c r="M17" s="230"/>
      <c r="N17" s="230"/>
      <c r="O17" s="231">
        <f>SUM(O18:O20)</f>
        <v>69460.9</v>
      </c>
      <c r="P17" s="208"/>
      <c r="Q17" s="208">
        <v>181820</v>
      </c>
      <c r="R17" s="209">
        <f t="shared" si="0"/>
        <v>251280.9</v>
      </c>
    </row>
    <row r="18" spans="1:18" ht="14.25">
      <c r="A18" s="203"/>
      <c r="B18" s="233"/>
      <c r="C18" s="205"/>
      <c r="D18" s="205" t="s">
        <v>537</v>
      </c>
      <c r="E18" s="205"/>
      <c r="F18" s="206"/>
      <c r="G18" s="206" t="s">
        <v>468</v>
      </c>
      <c r="H18" s="206">
        <v>1</v>
      </c>
      <c r="I18" s="206"/>
      <c r="J18" s="197">
        <f>'Phan tich don gia'!G359/10</f>
        <v>4693.29876</v>
      </c>
      <c r="K18" s="207">
        <v>1.35</v>
      </c>
      <c r="L18" s="207"/>
      <c r="M18" s="207"/>
      <c r="N18" s="207"/>
      <c r="O18" s="197">
        <f>ROUND(J18*K18*H18,1)</f>
        <v>6336</v>
      </c>
      <c r="P18" s="208"/>
      <c r="Q18" s="208"/>
      <c r="R18" s="209"/>
    </row>
    <row r="19" spans="1:18" ht="14.25">
      <c r="A19" s="203"/>
      <c r="B19" s="233"/>
      <c r="C19" s="205"/>
      <c r="D19" s="205"/>
      <c r="E19" s="205"/>
      <c r="F19" s="206"/>
      <c r="G19" s="206" t="s">
        <v>468</v>
      </c>
      <c r="H19" s="206">
        <v>9</v>
      </c>
      <c r="I19" s="206"/>
      <c r="J19" s="197">
        <f>'Phan tich don gia'!G364/10</f>
        <v>3302.6917200000003</v>
      </c>
      <c r="K19" s="207">
        <v>1.35</v>
      </c>
      <c r="L19" s="207"/>
      <c r="M19" s="207"/>
      <c r="N19" s="207"/>
      <c r="O19" s="197">
        <f>ROUND(J19*K19*H19,1)</f>
        <v>40127.7</v>
      </c>
      <c r="P19" s="208"/>
      <c r="Q19" s="208"/>
      <c r="R19" s="209"/>
    </row>
    <row r="20" spans="1:18" ht="14.25">
      <c r="A20" s="203"/>
      <c r="B20" s="233"/>
      <c r="C20" s="205"/>
      <c r="D20" s="205"/>
      <c r="E20" s="205" t="s">
        <v>467</v>
      </c>
      <c r="F20" s="206"/>
      <c r="G20" s="206" t="s">
        <v>468</v>
      </c>
      <c r="H20" s="206">
        <v>7</v>
      </c>
      <c r="I20" s="206"/>
      <c r="J20" s="197">
        <f>'Phan tich don gia'!G369/10</f>
        <v>2433.56232</v>
      </c>
      <c r="K20" s="207">
        <v>1.35</v>
      </c>
      <c r="L20" s="207"/>
      <c r="M20" s="207"/>
      <c r="N20" s="207"/>
      <c r="O20" s="197">
        <f>ROUND(J20*K20*H20,1)</f>
        <v>22997.2</v>
      </c>
      <c r="P20" s="208"/>
      <c r="Q20" s="208"/>
      <c r="R20" s="209"/>
    </row>
    <row r="21" spans="1:18" ht="14.25">
      <c r="A21" s="203">
        <v>7</v>
      </c>
      <c r="B21" s="205" t="s">
        <v>377</v>
      </c>
      <c r="C21" s="205" t="s">
        <v>167</v>
      </c>
      <c r="D21" s="205" t="s">
        <v>0</v>
      </c>
      <c r="E21" s="205" t="s">
        <v>0</v>
      </c>
      <c r="F21" s="206" t="s">
        <v>0</v>
      </c>
      <c r="G21" s="206" t="s">
        <v>0</v>
      </c>
      <c r="H21" s="206"/>
      <c r="I21" s="206" t="s">
        <v>349</v>
      </c>
      <c r="J21" s="197"/>
      <c r="K21" s="207"/>
      <c r="L21" s="207"/>
      <c r="M21" s="207"/>
      <c r="N21" s="207"/>
      <c r="O21" s="208"/>
      <c r="P21" s="208"/>
      <c r="Q21" s="208">
        <v>26364</v>
      </c>
      <c r="R21" s="209">
        <f>O21+P21+Q21</f>
        <v>26364</v>
      </c>
    </row>
    <row r="22" spans="1:18" ht="14.25">
      <c r="A22" s="203">
        <v>8</v>
      </c>
      <c r="B22" s="205" t="s">
        <v>376</v>
      </c>
      <c r="C22" s="205" t="s">
        <v>59</v>
      </c>
      <c r="D22" s="205" t="s">
        <v>0</v>
      </c>
      <c r="E22" s="205" t="s">
        <v>0</v>
      </c>
      <c r="F22" s="206" t="s">
        <v>0</v>
      </c>
      <c r="G22" s="206" t="s">
        <v>0</v>
      </c>
      <c r="H22" s="206"/>
      <c r="I22" s="206" t="s">
        <v>349</v>
      </c>
      <c r="J22" s="197"/>
      <c r="K22" s="207"/>
      <c r="L22" s="207"/>
      <c r="M22" s="207"/>
      <c r="N22" s="207"/>
      <c r="O22" s="208"/>
      <c r="P22" s="208"/>
      <c r="Q22" s="208">
        <v>22727000</v>
      </c>
      <c r="R22" s="209">
        <f>O22+P22+Q22</f>
        <v>22727000</v>
      </c>
    </row>
    <row r="23" spans="1:18" ht="14.25">
      <c r="A23" s="203">
        <v>9</v>
      </c>
      <c r="B23" s="205" t="s">
        <v>375</v>
      </c>
      <c r="C23" s="205" t="s">
        <v>59</v>
      </c>
      <c r="D23" s="205" t="s">
        <v>0</v>
      </c>
      <c r="E23" s="205" t="s">
        <v>0</v>
      </c>
      <c r="F23" s="206" t="s">
        <v>11</v>
      </c>
      <c r="G23" s="206" t="s">
        <v>0</v>
      </c>
      <c r="H23" s="206"/>
      <c r="I23" s="206">
        <f>I42</f>
        <v>2</v>
      </c>
      <c r="J23" s="197"/>
      <c r="K23" s="207"/>
      <c r="L23" s="207"/>
      <c r="M23" s="207"/>
      <c r="N23" s="207"/>
      <c r="O23" s="208">
        <f>O42</f>
        <v>6522.9</v>
      </c>
      <c r="P23" s="208">
        <f>P42</f>
        <v>45897.432</v>
      </c>
      <c r="Q23" s="208">
        <v>19700000</v>
      </c>
      <c r="R23" s="209">
        <f t="shared" si="0"/>
        <v>19752420.332</v>
      </c>
    </row>
    <row r="24" spans="1:18" ht="14.25">
      <c r="A24" s="203">
        <v>10</v>
      </c>
      <c r="B24" s="205" t="s">
        <v>374</v>
      </c>
      <c r="C24" s="205" t="s">
        <v>59</v>
      </c>
      <c r="D24" s="205" t="s">
        <v>0</v>
      </c>
      <c r="E24" s="205" t="s">
        <v>0</v>
      </c>
      <c r="F24" s="206" t="s">
        <v>0</v>
      </c>
      <c r="G24" s="206" t="s">
        <v>0</v>
      </c>
      <c r="H24" s="206"/>
      <c r="I24" s="206" t="s">
        <v>349</v>
      </c>
      <c r="J24" s="197"/>
      <c r="K24" s="207"/>
      <c r="L24" s="207"/>
      <c r="M24" s="207"/>
      <c r="N24" s="207"/>
      <c r="O24" s="208"/>
      <c r="P24" s="208"/>
      <c r="Q24" s="208">
        <v>20000000</v>
      </c>
      <c r="R24" s="209">
        <f t="shared" si="0"/>
        <v>20000000</v>
      </c>
    </row>
    <row r="25" spans="1:18" ht="14.25">
      <c r="A25" s="203">
        <v>11</v>
      </c>
      <c r="B25" s="205" t="s">
        <v>373</v>
      </c>
      <c r="C25" s="205" t="s">
        <v>190</v>
      </c>
      <c r="D25" s="205" t="s">
        <v>0</v>
      </c>
      <c r="E25" s="205" t="s">
        <v>0</v>
      </c>
      <c r="F25" s="206" t="s">
        <v>11</v>
      </c>
      <c r="G25" s="206" t="s">
        <v>0</v>
      </c>
      <c r="H25" s="206"/>
      <c r="I25" s="206" t="s">
        <v>349</v>
      </c>
      <c r="J25" s="197"/>
      <c r="K25" s="207"/>
      <c r="L25" s="207"/>
      <c r="M25" s="207"/>
      <c r="N25" s="207"/>
      <c r="O25" s="208"/>
      <c r="P25" s="208"/>
      <c r="Q25" s="208"/>
      <c r="R25" s="209">
        <f t="shared" si="0"/>
        <v>0</v>
      </c>
    </row>
    <row r="26" spans="1:18" ht="28.5">
      <c r="A26" s="203">
        <v>12</v>
      </c>
      <c r="B26" s="204" t="s">
        <v>464</v>
      </c>
      <c r="C26" s="205" t="s">
        <v>190</v>
      </c>
      <c r="D26" s="205"/>
      <c r="E26" s="205" t="s">
        <v>0</v>
      </c>
      <c r="F26" s="206" t="s">
        <v>0</v>
      </c>
      <c r="G26" s="206" t="s">
        <v>0</v>
      </c>
      <c r="H26" s="206"/>
      <c r="I26" s="206">
        <f>SUM(H27:H28)</f>
        <v>2</v>
      </c>
      <c r="J26" s="197"/>
      <c r="K26" s="207"/>
      <c r="L26" s="207"/>
      <c r="M26" s="207"/>
      <c r="N26" s="207"/>
      <c r="O26" s="231">
        <f>SUM(O27:O28)</f>
        <v>2107.3</v>
      </c>
      <c r="P26" s="208"/>
      <c r="Q26" s="208">
        <f>7593*1/(0.3*0.3)</f>
        <v>84366.66666666667</v>
      </c>
      <c r="R26" s="209">
        <f t="shared" si="0"/>
        <v>86473.96666666667</v>
      </c>
    </row>
    <row r="27" spans="1:18" ht="14.25">
      <c r="A27" s="203"/>
      <c r="B27" s="204"/>
      <c r="C27" s="205"/>
      <c r="D27" s="205" t="s">
        <v>466</v>
      </c>
      <c r="E27" s="205"/>
      <c r="F27" s="206"/>
      <c r="G27" s="206" t="s">
        <v>468</v>
      </c>
      <c r="H27" s="206">
        <v>1</v>
      </c>
      <c r="I27" s="206"/>
      <c r="J27" s="197">
        <f>'Phan tich don gia'!G344*66/10/1000</f>
        <v>906.33795912</v>
      </c>
      <c r="K27" s="207">
        <v>1.35</v>
      </c>
      <c r="L27" s="207"/>
      <c r="M27" s="207"/>
      <c r="N27" s="207"/>
      <c r="O27" s="197">
        <f>ROUND(J27*K27*H27,1)</f>
        <v>1223.6</v>
      </c>
      <c r="P27" s="208"/>
      <c r="Q27" s="208"/>
      <c r="R27" s="209"/>
    </row>
    <row r="28" spans="1:18" ht="14.25">
      <c r="A28" s="203"/>
      <c r="B28" s="204"/>
      <c r="C28" s="205"/>
      <c r="D28" s="205"/>
      <c r="E28" s="205" t="s">
        <v>467</v>
      </c>
      <c r="F28" s="206"/>
      <c r="G28" s="206" t="s">
        <v>468</v>
      </c>
      <c r="H28" s="206">
        <v>1</v>
      </c>
      <c r="I28" s="206"/>
      <c r="J28" s="197">
        <f>'Phan tich don gia'!G349*66/10/1000</f>
        <v>654.57741492</v>
      </c>
      <c r="K28" s="207">
        <v>1.35</v>
      </c>
      <c r="L28" s="207"/>
      <c r="M28" s="207"/>
      <c r="N28" s="207"/>
      <c r="O28" s="197">
        <f>ROUND(J28*K28*H28,1)</f>
        <v>883.7</v>
      </c>
      <c r="P28" s="208"/>
      <c r="Q28" s="208"/>
      <c r="R28" s="209"/>
    </row>
    <row r="29" spans="1:18" ht="14.25">
      <c r="A29" s="203">
        <v>13</v>
      </c>
      <c r="B29" s="205" t="s">
        <v>372</v>
      </c>
      <c r="C29" s="205" t="s">
        <v>25</v>
      </c>
      <c r="D29" s="205" t="s">
        <v>0</v>
      </c>
      <c r="E29" s="205" t="s">
        <v>0</v>
      </c>
      <c r="F29" s="206" t="s">
        <v>0</v>
      </c>
      <c r="G29" s="206" t="s">
        <v>0</v>
      </c>
      <c r="H29" s="206"/>
      <c r="I29" s="206">
        <f>SUM(H30:H31)</f>
        <v>2</v>
      </c>
      <c r="J29" s="197"/>
      <c r="K29" s="207"/>
      <c r="L29" s="207"/>
      <c r="M29" s="207"/>
      <c r="N29" s="207"/>
      <c r="O29" s="231">
        <f>SUM(O30:O31)</f>
        <v>5551.299999999999</v>
      </c>
      <c r="P29" s="208">
        <f>'Phan tich don gia'!G483</f>
        <v>19670.328</v>
      </c>
      <c r="Q29" s="208">
        <f>4500000/1.1</f>
        <v>4090909.0909090904</v>
      </c>
      <c r="R29" s="209">
        <f t="shared" si="0"/>
        <v>4116130.7189090904</v>
      </c>
    </row>
    <row r="30" spans="1:18" ht="14.25">
      <c r="A30" s="203"/>
      <c r="B30" s="205"/>
      <c r="C30" s="205"/>
      <c r="D30" s="205"/>
      <c r="E30" s="205"/>
      <c r="F30" s="206"/>
      <c r="G30" s="206" t="s">
        <v>468</v>
      </c>
      <c r="H30" s="206">
        <v>1</v>
      </c>
      <c r="I30" s="206"/>
      <c r="J30" s="197">
        <f>'Phan tich don gia'!G434/10</f>
        <v>3051.64296</v>
      </c>
      <c r="K30" s="207">
        <v>1.35</v>
      </c>
      <c r="L30" s="207"/>
      <c r="M30" s="207">
        <v>0.77</v>
      </c>
      <c r="N30" s="207"/>
      <c r="O30" s="197">
        <f>ROUND(J30*K30*H30*M30,1)</f>
        <v>3172.2</v>
      </c>
      <c r="P30" s="208"/>
      <c r="Q30" s="208"/>
      <c r="R30" s="209"/>
    </row>
    <row r="31" spans="1:18" ht="14.25">
      <c r="A31" s="203"/>
      <c r="B31" s="205"/>
      <c r="C31" s="205"/>
      <c r="D31" s="205"/>
      <c r="E31" s="205"/>
      <c r="F31" s="206"/>
      <c r="G31" s="206" t="s">
        <v>468</v>
      </c>
      <c r="H31" s="206">
        <v>1</v>
      </c>
      <c r="I31" s="206"/>
      <c r="J31" s="197">
        <f>'Phan tich don gia'!G439/10</f>
        <v>2288.73222</v>
      </c>
      <c r="K31" s="207">
        <v>1.35</v>
      </c>
      <c r="L31" s="207"/>
      <c r="M31" s="207">
        <v>0.77</v>
      </c>
      <c r="N31" s="207"/>
      <c r="O31" s="197">
        <f>ROUND(J31*K31*H31*M31,1)</f>
        <v>2379.1</v>
      </c>
      <c r="P31" s="208"/>
      <c r="Q31" s="208"/>
      <c r="R31" s="209"/>
    </row>
    <row r="32" spans="1:18" ht="14.25">
      <c r="A32" s="203">
        <v>14</v>
      </c>
      <c r="B32" s="233" t="s">
        <v>533</v>
      </c>
      <c r="C32" s="205" t="s">
        <v>123</v>
      </c>
      <c r="D32" s="205" t="s">
        <v>0</v>
      </c>
      <c r="E32" s="205" t="s">
        <v>0</v>
      </c>
      <c r="F32" s="206" t="s">
        <v>0</v>
      </c>
      <c r="G32" s="206" t="s">
        <v>0</v>
      </c>
      <c r="H32" s="206"/>
      <c r="I32" s="206" t="s">
        <v>349</v>
      </c>
      <c r="J32" s="197"/>
      <c r="K32" s="207"/>
      <c r="L32" s="207"/>
      <c r="M32" s="207"/>
      <c r="N32" s="207"/>
      <c r="O32" s="208"/>
      <c r="P32" s="208"/>
      <c r="Q32" s="208">
        <v>180000</v>
      </c>
      <c r="R32" s="209">
        <f t="shared" si="0"/>
        <v>180000</v>
      </c>
    </row>
    <row r="33" spans="1:18" ht="14.25">
      <c r="A33" s="203">
        <v>15</v>
      </c>
      <c r="B33" s="205" t="s">
        <v>371</v>
      </c>
      <c r="C33" s="205" t="s">
        <v>123</v>
      </c>
      <c r="D33" s="205" t="s">
        <v>0</v>
      </c>
      <c r="E33" s="205" t="s">
        <v>0</v>
      </c>
      <c r="F33" s="206" t="s">
        <v>11</v>
      </c>
      <c r="G33" s="206" t="s">
        <v>0</v>
      </c>
      <c r="H33" s="206"/>
      <c r="I33" s="206" t="s">
        <v>349</v>
      </c>
      <c r="J33" s="197"/>
      <c r="K33" s="207"/>
      <c r="L33" s="207"/>
      <c r="M33" s="207"/>
      <c r="N33" s="207"/>
      <c r="O33" s="208"/>
      <c r="P33" s="208"/>
      <c r="Q33" s="208">
        <v>1322000</v>
      </c>
      <c r="R33" s="209">
        <f t="shared" si="0"/>
        <v>1322000</v>
      </c>
    </row>
    <row r="34" spans="1:18" ht="14.25">
      <c r="A34" s="203">
        <v>16</v>
      </c>
      <c r="B34" s="205" t="s">
        <v>370</v>
      </c>
      <c r="C34" s="205" t="s">
        <v>59</v>
      </c>
      <c r="D34" s="205" t="s">
        <v>0</v>
      </c>
      <c r="E34" s="205" t="s">
        <v>0</v>
      </c>
      <c r="F34" s="206" t="s">
        <v>0</v>
      </c>
      <c r="G34" s="206" t="s">
        <v>0</v>
      </c>
      <c r="H34" s="206"/>
      <c r="I34" s="206" t="s">
        <v>349</v>
      </c>
      <c r="J34" s="197"/>
      <c r="K34" s="207"/>
      <c r="L34" s="207"/>
      <c r="M34" s="207"/>
      <c r="N34" s="207"/>
      <c r="O34" s="208"/>
      <c r="P34" s="208"/>
      <c r="Q34" s="208">
        <v>20454545.45</v>
      </c>
      <c r="R34" s="209">
        <f t="shared" si="0"/>
        <v>20454545.45</v>
      </c>
    </row>
    <row r="35" spans="1:18" ht="14.25">
      <c r="A35" s="203">
        <v>17</v>
      </c>
      <c r="B35" s="205" t="s">
        <v>369</v>
      </c>
      <c r="C35" s="205" t="s">
        <v>59</v>
      </c>
      <c r="D35" s="205" t="s">
        <v>0</v>
      </c>
      <c r="E35" s="205" t="s">
        <v>0</v>
      </c>
      <c r="F35" s="206" t="s">
        <v>15</v>
      </c>
      <c r="G35" s="206" t="s">
        <v>0</v>
      </c>
      <c r="H35" s="206"/>
      <c r="I35" s="206">
        <f>SUM(H36:H37)</f>
        <v>2</v>
      </c>
      <c r="J35" s="197"/>
      <c r="K35" s="207"/>
      <c r="L35" s="207"/>
      <c r="M35" s="207"/>
      <c r="N35" s="207"/>
      <c r="O35" s="231">
        <f>SUM(O36:O37)</f>
        <v>9269.4</v>
      </c>
      <c r="P35" s="208"/>
      <c r="Q35" s="208">
        <v>16818000</v>
      </c>
      <c r="R35" s="209">
        <f t="shared" si="0"/>
        <v>16827269.4</v>
      </c>
    </row>
    <row r="36" spans="1:18" ht="14.25">
      <c r="A36" s="203"/>
      <c r="B36" s="205"/>
      <c r="C36" s="205"/>
      <c r="D36" s="205" t="s">
        <v>600</v>
      </c>
      <c r="E36" s="205"/>
      <c r="F36" s="206"/>
      <c r="G36" s="206" t="s">
        <v>468</v>
      </c>
      <c r="H36" s="206">
        <v>1</v>
      </c>
      <c r="I36" s="206"/>
      <c r="J36" s="197">
        <f>'Phan tich don gia'!G488/10</f>
        <v>3941.7054900000003</v>
      </c>
      <c r="K36" s="207">
        <v>1.35</v>
      </c>
      <c r="L36" s="207"/>
      <c r="M36" s="207"/>
      <c r="N36" s="207"/>
      <c r="O36" s="197">
        <f>ROUND(J36*K36*H36,1)</f>
        <v>5321.3</v>
      </c>
      <c r="P36" s="208"/>
      <c r="Q36" s="208"/>
      <c r="R36" s="209"/>
    </row>
    <row r="37" spans="1:18" ht="14.25">
      <c r="A37" s="203"/>
      <c r="B37" s="205"/>
      <c r="C37" s="205"/>
      <c r="D37" s="205"/>
      <c r="E37" s="205" t="s">
        <v>467</v>
      </c>
      <c r="F37" s="206"/>
      <c r="G37" s="206" t="s">
        <v>468</v>
      </c>
      <c r="H37" s="206">
        <v>1</v>
      </c>
      <c r="I37" s="206"/>
      <c r="J37" s="197">
        <f>'Phan tich don gia'!G493/10</f>
        <v>2924.4911700000002</v>
      </c>
      <c r="K37" s="207">
        <v>1.35</v>
      </c>
      <c r="L37" s="207"/>
      <c r="M37" s="207"/>
      <c r="N37" s="207"/>
      <c r="O37" s="197">
        <f>ROUND(J37*K37*H37,1)</f>
        <v>3948.1</v>
      </c>
      <c r="P37" s="208"/>
      <c r="Q37" s="208"/>
      <c r="R37" s="209"/>
    </row>
    <row r="38" spans="1:18" ht="14.25">
      <c r="A38" s="203">
        <v>18</v>
      </c>
      <c r="B38" s="205" t="s">
        <v>368</v>
      </c>
      <c r="C38" s="205" t="s">
        <v>25</v>
      </c>
      <c r="D38" s="205" t="s">
        <v>0</v>
      </c>
      <c r="E38" s="205" t="s">
        <v>0</v>
      </c>
      <c r="F38" s="206" t="s">
        <v>15</v>
      </c>
      <c r="G38" s="206" t="s">
        <v>0</v>
      </c>
      <c r="H38" s="206"/>
      <c r="I38" s="206" t="s">
        <v>349</v>
      </c>
      <c r="J38" s="197"/>
      <c r="K38" s="207"/>
      <c r="L38" s="207"/>
      <c r="M38" s="207"/>
      <c r="N38" s="207"/>
      <c r="O38" s="208"/>
      <c r="P38" s="208"/>
      <c r="Q38" s="208">
        <v>10000</v>
      </c>
      <c r="R38" s="209">
        <f t="shared" si="0"/>
        <v>10000</v>
      </c>
    </row>
    <row r="39" spans="1:18" ht="14.25">
      <c r="A39" s="203">
        <v>19</v>
      </c>
      <c r="B39" s="205" t="s">
        <v>367</v>
      </c>
      <c r="C39" s="205" t="s">
        <v>167</v>
      </c>
      <c r="D39" s="205" t="s">
        <v>0</v>
      </c>
      <c r="E39" s="205" t="s">
        <v>0</v>
      </c>
      <c r="F39" s="206" t="s">
        <v>0</v>
      </c>
      <c r="G39" s="206" t="s">
        <v>0</v>
      </c>
      <c r="H39" s="206"/>
      <c r="I39" s="206" t="s">
        <v>349</v>
      </c>
      <c r="J39" s="197"/>
      <c r="K39" s="207"/>
      <c r="L39" s="207"/>
      <c r="M39" s="207"/>
      <c r="N39" s="207"/>
      <c r="O39" s="208"/>
      <c r="P39" s="208"/>
      <c r="Q39" s="208">
        <v>5000</v>
      </c>
      <c r="R39" s="209">
        <f t="shared" si="0"/>
        <v>5000</v>
      </c>
    </row>
    <row r="40" spans="1:18" ht="14.25">
      <c r="A40" s="203">
        <v>20</v>
      </c>
      <c r="B40" s="205" t="s">
        <v>366</v>
      </c>
      <c r="C40" s="205" t="s">
        <v>59</v>
      </c>
      <c r="D40" s="205" t="s">
        <v>0</v>
      </c>
      <c r="E40" s="205" t="s">
        <v>0</v>
      </c>
      <c r="F40" s="206" t="s">
        <v>0</v>
      </c>
      <c r="G40" s="206" t="s">
        <v>0</v>
      </c>
      <c r="H40" s="206"/>
      <c r="I40" s="206" t="s">
        <v>349</v>
      </c>
      <c r="J40" s="197"/>
      <c r="K40" s="207"/>
      <c r="L40" s="207"/>
      <c r="M40" s="207"/>
      <c r="N40" s="207"/>
      <c r="O40" s="208"/>
      <c r="P40" s="208"/>
      <c r="Q40" s="208">
        <v>7910000</v>
      </c>
      <c r="R40" s="209">
        <f t="shared" si="0"/>
        <v>7910000</v>
      </c>
    </row>
    <row r="41" spans="1:18" ht="14.25">
      <c r="A41" s="203">
        <v>21</v>
      </c>
      <c r="B41" s="205" t="s">
        <v>365</v>
      </c>
      <c r="C41" s="205" t="s">
        <v>59</v>
      </c>
      <c r="D41" s="205" t="s">
        <v>0</v>
      </c>
      <c r="E41" s="205" t="s">
        <v>0</v>
      </c>
      <c r="F41" s="206" t="s">
        <v>11</v>
      </c>
      <c r="G41" s="206" t="s">
        <v>0</v>
      </c>
      <c r="H41" s="206"/>
      <c r="I41" s="206" t="s">
        <v>349</v>
      </c>
      <c r="J41" s="197"/>
      <c r="K41" s="207"/>
      <c r="L41" s="207"/>
      <c r="M41" s="207"/>
      <c r="N41" s="207"/>
      <c r="O41" s="208"/>
      <c r="P41" s="208"/>
      <c r="Q41" s="208">
        <v>20000000</v>
      </c>
      <c r="R41" s="209">
        <f t="shared" si="0"/>
        <v>20000000</v>
      </c>
    </row>
    <row r="42" spans="1:18" ht="14.25">
      <c r="A42" s="203">
        <v>22</v>
      </c>
      <c r="B42" s="205" t="s">
        <v>364</v>
      </c>
      <c r="C42" s="205" t="s">
        <v>59</v>
      </c>
      <c r="D42" s="205" t="s">
        <v>0</v>
      </c>
      <c r="E42" s="205" t="s">
        <v>0</v>
      </c>
      <c r="F42" s="206" t="s">
        <v>11</v>
      </c>
      <c r="G42" s="206" t="s">
        <v>0</v>
      </c>
      <c r="H42" s="206"/>
      <c r="I42" s="206">
        <f>SUM(H43:H44)</f>
        <v>2</v>
      </c>
      <c r="J42" s="197"/>
      <c r="K42" s="207"/>
      <c r="L42" s="207"/>
      <c r="M42" s="207"/>
      <c r="N42" s="207"/>
      <c r="O42" s="231">
        <f>SUM(O43:O44)</f>
        <v>6522.9</v>
      </c>
      <c r="P42" s="208">
        <f>'Phan tich don gia'!G478</f>
        <v>45897.432</v>
      </c>
      <c r="Q42" s="208">
        <v>19700000</v>
      </c>
      <c r="R42" s="209">
        <f t="shared" si="0"/>
        <v>19752420.332</v>
      </c>
    </row>
    <row r="43" spans="1:18" ht="14.25">
      <c r="A43" s="203"/>
      <c r="B43" s="205"/>
      <c r="C43" s="205"/>
      <c r="D43" s="205" t="s">
        <v>600</v>
      </c>
      <c r="E43" s="205"/>
      <c r="F43" s="206"/>
      <c r="G43" s="206" t="s">
        <v>468</v>
      </c>
      <c r="H43" s="206">
        <v>1</v>
      </c>
      <c r="I43" s="206"/>
      <c r="J43" s="197">
        <f>'Phan tich don gia'!G419/10</f>
        <v>2797.3393800000003</v>
      </c>
      <c r="K43" s="207">
        <v>1.35</v>
      </c>
      <c r="L43" s="207"/>
      <c r="M43" s="207"/>
      <c r="N43" s="207"/>
      <c r="O43" s="197">
        <f>ROUND(J43*K43*H43,1)</f>
        <v>3776.4</v>
      </c>
      <c r="P43" s="208"/>
      <c r="Q43" s="208"/>
      <c r="R43" s="209"/>
    </row>
    <row r="44" spans="1:18" ht="14.25">
      <c r="A44" s="203"/>
      <c r="B44" s="205"/>
      <c r="C44" s="205"/>
      <c r="D44" s="205"/>
      <c r="E44" s="205" t="s">
        <v>467</v>
      </c>
      <c r="F44" s="206"/>
      <c r="G44" s="206" t="s">
        <v>468</v>
      </c>
      <c r="H44" s="206">
        <v>1</v>
      </c>
      <c r="I44" s="206"/>
      <c r="J44" s="197">
        <f>'Phan tich don gia'!G424/10</f>
        <v>2034.42864</v>
      </c>
      <c r="K44" s="207">
        <v>1.35</v>
      </c>
      <c r="L44" s="207"/>
      <c r="M44" s="207"/>
      <c r="N44" s="207"/>
      <c r="O44" s="197">
        <f>ROUND(J44*K44*H44,1)</f>
        <v>2746.5</v>
      </c>
      <c r="P44" s="208"/>
      <c r="Q44" s="208"/>
      <c r="R44" s="209"/>
    </row>
    <row r="45" spans="1:18" ht="14.25">
      <c r="A45" s="203">
        <v>23</v>
      </c>
      <c r="B45" s="205" t="s">
        <v>363</v>
      </c>
      <c r="C45" s="205" t="s">
        <v>59</v>
      </c>
      <c r="D45" s="205" t="s">
        <v>0</v>
      </c>
      <c r="E45" s="205" t="s">
        <v>0</v>
      </c>
      <c r="F45" s="206" t="s">
        <v>0</v>
      </c>
      <c r="G45" s="206" t="s">
        <v>0</v>
      </c>
      <c r="H45" s="206"/>
      <c r="I45" s="206">
        <f>I42</f>
        <v>2</v>
      </c>
      <c r="J45" s="197"/>
      <c r="K45" s="207"/>
      <c r="L45" s="207"/>
      <c r="M45" s="207"/>
      <c r="N45" s="207"/>
      <c r="O45" s="208">
        <f>O42</f>
        <v>6522.9</v>
      </c>
      <c r="P45" s="208">
        <f>P42</f>
        <v>45897.432</v>
      </c>
      <c r="Q45" s="208">
        <v>19700000</v>
      </c>
      <c r="R45" s="209">
        <f t="shared" si="0"/>
        <v>19752420.332</v>
      </c>
    </row>
    <row r="46" spans="1:18" ht="14.25">
      <c r="A46" s="203">
        <v>24</v>
      </c>
      <c r="B46" s="205" t="s">
        <v>362</v>
      </c>
      <c r="C46" s="205" t="s">
        <v>59</v>
      </c>
      <c r="D46" s="205" t="s">
        <v>0</v>
      </c>
      <c r="E46" s="205" t="s">
        <v>0</v>
      </c>
      <c r="F46" s="206" t="s">
        <v>0</v>
      </c>
      <c r="G46" s="206" t="s">
        <v>0</v>
      </c>
      <c r="H46" s="206"/>
      <c r="I46" s="206">
        <f>I42</f>
        <v>2</v>
      </c>
      <c r="J46" s="197"/>
      <c r="K46" s="207"/>
      <c r="L46" s="207"/>
      <c r="M46" s="207"/>
      <c r="N46" s="207"/>
      <c r="O46" s="208">
        <f>O42</f>
        <v>6522.9</v>
      </c>
      <c r="P46" s="208">
        <f>P42</f>
        <v>45897.432</v>
      </c>
      <c r="Q46" s="208">
        <v>15182000</v>
      </c>
      <c r="R46" s="209">
        <f t="shared" si="0"/>
        <v>15234420.332</v>
      </c>
    </row>
    <row r="47" spans="1:18" ht="14.25">
      <c r="A47" s="203">
        <v>25</v>
      </c>
      <c r="B47" s="205" t="s">
        <v>361</v>
      </c>
      <c r="C47" s="205" t="s">
        <v>59</v>
      </c>
      <c r="D47" s="205" t="s">
        <v>0</v>
      </c>
      <c r="E47" s="205" t="s">
        <v>0</v>
      </c>
      <c r="F47" s="206" t="s">
        <v>0</v>
      </c>
      <c r="G47" s="206" t="s">
        <v>0</v>
      </c>
      <c r="H47" s="206"/>
      <c r="I47" s="206">
        <f>I42</f>
        <v>2</v>
      </c>
      <c r="J47" s="197"/>
      <c r="K47" s="207"/>
      <c r="L47" s="207"/>
      <c r="M47" s="207"/>
      <c r="N47" s="207"/>
      <c r="O47" s="208">
        <f>O42</f>
        <v>6522.9</v>
      </c>
      <c r="P47" s="208">
        <f>P42</f>
        <v>45897.432</v>
      </c>
      <c r="Q47" s="208">
        <v>15182000</v>
      </c>
      <c r="R47" s="209">
        <f t="shared" si="0"/>
        <v>15234420.332</v>
      </c>
    </row>
    <row r="48" spans="1:18" ht="14.25">
      <c r="A48" s="203">
        <v>26</v>
      </c>
      <c r="B48" s="205" t="s">
        <v>360</v>
      </c>
      <c r="C48" s="205" t="s">
        <v>59</v>
      </c>
      <c r="D48" s="205" t="s">
        <v>0</v>
      </c>
      <c r="E48" s="205" t="s">
        <v>0</v>
      </c>
      <c r="F48" s="206" t="s">
        <v>0</v>
      </c>
      <c r="G48" s="206" t="s">
        <v>0</v>
      </c>
      <c r="H48" s="206"/>
      <c r="I48" s="206">
        <f>I42</f>
        <v>2</v>
      </c>
      <c r="J48" s="197"/>
      <c r="K48" s="207"/>
      <c r="L48" s="207"/>
      <c r="M48" s="207"/>
      <c r="N48" s="207"/>
      <c r="O48" s="208">
        <f>O42</f>
        <v>6522.9</v>
      </c>
      <c r="P48" s="208">
        <f>P42</f>
        <v>45897.432</v>
      </c>
      <c r="Q48" s="208">
        <v>15182000</v>
      </c>
      <c r="R48" s="209">
        <f t="shared" si="0"/>
        <v>15234420.332</v>
      </c>
    </row>
    <row r="49" spans="1:18" ht="14.25">
      <c r="A49" s="203">
        <v>27</v>
      </c>
      <c r="B49" s="205" t="s">
        <v>359</v>
      </c>
      <c r="C49" s="205" t="s">
        <v>59</v>
      </c>
      <c r="D49" s="205" t="s">
        <v>0</v>
      </c>
      <c r="E49" s="205" t="s">
        <v>0</v>
      </c>
      <c r="F49" s="206" t="s">
        <v>11</v>
      </c>
      <c r="G49" s="206" t="s">
        <v>0</v>
      </c>
      <c r="H49" s="206"/>
      <c r="I49" s="206">
        <f>I42</f>
        <v>2</v>
      </c>
      <c r="J49" s="197"/>
      <c r="K49" s="207"/>
      <c r="L49" s="207"/>
      <c r="M49" s="207"/>
      <c r="N49" s="207"/>
      <c r="O49" s="208">
        <f>O42</f>
        <v>6522.9</v>
      </c>
      <c r="P49" s="208">
        <f>P42</f>
        <v>45897.432</v>
      </c>
      <c r="Q49" s="208">
        <v>19700000</v>
      </c>
      <c r="R49" s="209">
        <f t="shared" si="0"/>
        <v>19752420.332</v>
      </c>
    </row>
    <row r="50" spans="1:18" ht="14.25">
      <c r="A50" s="203">
        <v>28</v>
      </c>
      <c r="B50" s="205" t="s">
        <v>358</v>
      </c>
      <c r="C50" s="205" t="s">
        <v>59</v>
      </c>
      <c r="D50" s="205" t="s">
        <v>0</v>
      </c>
      <c r="E50" s="205" t="s">
        <v>0</v>
      </c>
      <c r="F50" s="206" t="s">
        <v>15</v>
      </c>
      <c r="G50" s="206" t="s">
        <v>0</v>
      </c>
      <c r="H50" s="206"/>
      <c r="I50" s="206" t="s">
        <v>349</v>
      </c>
      <c r="J50" s="197"/>
      <c r="K50" s="207"/>
      <c r="L50" s="207"/>
      <c r="M50" s="207"/>
      <c r="N50" s="207"/>
      <c r="O50" s="208"/>
      <c r="P50" s="208"/>
      <c r="Q50" s="208">
        <v>12000000</v>
      </c>
      <c r="R50" s="209">
        <f t="shared" si="0"/>
        <v>12000000</v>
      </c>
    </row>
    <row r="51" spans="1:18" ht="14.25">
      <c r="A51" s="203">
        <v>29</v>
      </c>
      <c r="B51" s="205" t="s">
        <v>357</v>
      </c>
      <c r="C51" s="205" t="s">
        <v>59</v>
      </c>
      <c r="D51" s="205"/>
      <c r="E51" s="205" t="s">
        <v>0</v>
      </c>
      <c r="F51" s="206" t="s">
        <v>0</v>
      </c>
      <c r="G51" s="206" t="s">
        <v>0</v>
      </c>
      <c r="H51" s="206"/>
      <c r="I51" s="206">
        <f>SUM(H52:H53)</f>
        <v>3</v>
      </c>
      <c r="J51" s="197"/>
      <c r="K51" s="207"/>
      <c r="L51" s="207"/>
      <c r="M51" s="207"/>
      <c r="N51" s="207"/>
      <c r="O51" s="231">
        <f>SUM(O52:O53)</f>
        <v>18023.8</v>
      </c>
      <c r="P51" s="208"/>
      <c r="Q51" s="208">
        <v>1468182</v>
      </c>
      <c r="R51" s="209">
        <f t="shared" si="0"/>
        <v>1486205.8</v>
      </c>
    </row>
    <row r="52" spans="1:18" ht="14.25">
      <c r="A52" s="203"/>
      <c r="B52" s="205"/>
      <c r="C52" s="205"/>
      <c r="D52" s="205" t="s">
        <v>601</v>
      </c>
      <c r="E52" s="205"/>
      <c r="F52" s="206"/>
      <c r="G52" s="206" t="s">
        <v>468</v>
      </c>
      <c r="H52" s="206">
        <v>1</v>
      </c>
      <c r="I52" s="206"/>
      <c r="J52" s="197">
        <f>'Phan tich don gia'!G404/10</f>
        <v>5467.52697</v>
      </c>
      <c r="K52" s="207">
        <v>1.35</v>
      </c>
      <c r="L52" s="207"/>
      <c r="M52" s="207"/>
      <c r="N52" s="207"/>
      <c r="O52" s="197">
        <f>ROUND(J52*K52*H52,1)</f>
        <v>7381.2</v>
      </c>
      <c r="P52" s="208"/>
      <c r="Q52" s="208"/>
      <c r="R52" s="209"/>
    </row>
    <row r="53" spans="1:18" ht="14.25">
      <c r="A53" s="203"/>
      <c r="B53" s="205"/>
      <c r="C53" s="205"/>
      <c r="D53" s="205"/>
      <c r="E53" s="205" t="s">
        <v>467</v>
      </c>
      <c r="F53" s="206"/>
      <c r="G53" s="206" t="s">
        <v>468</v>
      </c>
      <c r="H53" s="206">
        <v>2</v>
      </c>
      <c r="I53" s="206"/>
      <c r="J53" s="197">
        <f>'Phan tich don gia'!G409/10</f>
        <v>3941.7054900000003</v>
      </c>
      <c r="K53" s="207">
        <v>1.35</v>
      </c>
      <c r="L53" s="207"/>
      <c r="M53" s="207"/>
      <c r="N53" s="207"/>
      <c r="O53" s="197">
        <f>ROUND(J53*K53*H53,1)</f>
        <v>10642.6</v>
      </c>
      <c r="P53" s="208"/>
      <c r="Q53" s="208"/>
      <c r="R53" s="209"/>
    </row>
    <row r="54" spans="1:18" ht="14.25">
      <c r="A54" s="203">
        <v>30</v>
      </c>
      <c r="B54" s="205" t="s">
        <v>356</v>
      </c>
      <c r="C54" s="205" t="s">
        <v>59</v>
      </c>
      <c r="D54" s="205" t="s">
        <v>0</v>
      </c>
      <c r="E54" s="205" t="s">
        <v>0</v>
      </c>
      <c r="F54" s="206" t="s">
        <v>15</v>
      </c>
      <c r="G54" s="206" t="s">
        <v>0</v>
      </c>
      <c r="H54" s="206"/>
      <c r="I54" s="206">
        <f>I51</f>
        <v>3</v>
      </c>
      <c r="J54" s="197"/>
      <c r="K54" s="207"/>
      <c r="L54" s="207"/>
      <c r="M54" s="207"/>
      <c r="N54" s="207"/>
      <c r="O54" s="208">
        <f>O51</f>
        <v>18023.8</v>
      </c>
      <c r="P54" s="208"/>
      <c r="Q54" s="208">
        <v>1404545</v>
      </c>
      <c r="R54" s="209">
        <f t="shared" si="0"/>
        <v>1422568.8</v>
      </c>
    </row>
    <row r="55" spans="1:18" ht="14.25">
      <c r="A55" s="203">
        <v>31</v>
      </c>
      <c r="B55" s="205" t="s">
        <v>355</v>
      </c>
      <c r="C55" s="205" t="s">
        <v>59</v>
      </c>
      <c r="D55" s="205" t="s">
        <v>0</v>
      </c>
      <c r="E55" s="205" t="s">
        <v>0</v>
      </c>
      <c r="F55" s="206" t="s">
        <v>15</v>
      </c>
      <c r="G55" s="206" t="s">
        <v>0</v>
      </c>
      <c r="H55" s="206"/>
      <c r="I55" s="206">
        <f>I51</f>
        <v>3</v>
      </c>
      <c r="J55" s="197"/>
      <c r="K55" s="207"/>
      <c r="L55" s="207"/>
      <c r="M55" s="207"/>
      <c r="N55" s="207"/>
      <c r="O55" s="208">
        <f>O51</f>
        <v>18023.8</v>
      </c>
      <c r="P55" s="208"/>
      <c r="Q55" s="208">
        <v>1468182</v>
      </c>
      <c r="R55" s="209">
        <f t="shared" si="0"/>
        <v>1486205.8</v>
      </c>
    </row>
    <row r="56" spans="1:18" ht="14.25">
      <c r="A56" s="203">
        <v>32</v>
      </c>
      <c r="B56" s="205" t="s">
        <v>354</v>
      </c>
      <c r="C56" s="205" t="s">
        <v>59</v>
      </c>
      <c r="D56" s="205" t="s">
        <v>0</v>
      </c>
      <c r="E56" s="205" t="s">
        <v>0</v>
      </c>
      <c r="F56" s="206" t="s">
        <v>15</v>
      </c>
      <c r="G56" s="206" t="s">
        <v>0</v>
      </c>
      <c r="H56" s="206"/>
      <c r="I56" s="206">
        <f>I51</f>
        <v>3</v>
      </c>
      <c r="J56" s="197"/>
      <c r="K56" s="207"/>
      <c r="L56" s="207"/>
      <c r="M56" s="207"/>
      <c r="N56" s="207"/>
      <c r="O56" s="208">
        <f>O51</f>
        <v>18023.8</v>
      </c>
      <c r="P56" s="208"/>
      <c r="Q56" s="208">
        <v>1513636</v>
      </c>
      <c r="R56" s="209">
        <f t="shared" si="0"/>
        <v>1531659.8</v>
      </c>
    </row>
    <row r="57" spans="1:18" ht="14.25">
      <c r="A57" s="203">
        <v>33</v>
      </c>
      <c r="B57" s="205" t="s">
        <v>353</v>
      </c>
      <c r="C57" s="205" t="s">
        <v>59</v>
      </c>
      <c r="D57" s="205" t="s">
        <v>0</v>
      </c>
      <c r="E57" s="205" t="s">
        <v>0</v>
      </c>
      <c r="F57" s="206" t="s">
        <v>0</v>
      </c>
      <c r="G57" s="206" t="s">
        <v>0</v>
      </c>
      <c r="H57" s="206"/>
      <c r="I57" s="206" t="s">
        <v>349</v>
      </c>
      <c r="J57" s="197"/>
      <c r="K57" s="207"/>
      <c r="L57" s="207"/>
      <c r="M57" s="207"/>
      <c r="N57" s="207"/>
      <c r="O57" s="208"/>
      <c r="P57" s="208"/>
      <c r="Q57" s="208">
        <v>18518518.52</v>
      </c>
      <c r="R57" s="209">
        <f t="shared" si="0"/>
        <v>18518518.52</v>
      </c>
    </row>
    <row r="58" spans="1:18" ht="14.25">
      <c r="A58" s="203">
        <v>34</v>
      </c>
      <c r="B58" s="205" t="s">
        <v>352</v>
      </c>
      <c r="C58" s="205" t="s">
        <v>25</v>
      </c>
      <c r="D58" s="205" t="s">
        <v>0</v>
      </c>
      <c r="E58" s="205" t="s">
        <v>0</v>
      </c>
      <c r="F58" s="206" t="s">
        <v>2</v>
      </c>
      <c r="G58" s="206" t="s">
        <v>0</v>
      </c>
      <c r="H58" s="206"/>
      <c r="I58" s="206">
        <f>SUM(H59:H60)</f>
        <v>4</v>
      </c>
      <c r="J58" s="197"/>
      <c r="K58" s="207"/>
      <c r="L58" s="207"/>
      <c r="M58" s="207"/>
      <c r="N58" s="207"/>
      <c r="O58" s="231">
        <f>SUM(O59:O60)</f>
        <v>25578.5</v>
      </c>
      <c r="P58" s="208"/>
      <c r="Q58" s="208">
        <v>290909</v>
      </c>
      <c r="R58" s="209">
        <f>O58+P58+Q58</f>
        <v>316487.5</v>
      </c>
    </row>
    <row r="59" spans="1:18" ht="14.25">
      <c r="A59" s="203"/>
      <c r="B59" s="205"/>
      <c r="C59" s="205"/>
      <c r="D59" s="205" t="s">
        <v>610</v>
      </c>
      <c r="E59" s="205"/>
      <c r="F59" s="206"/>
      <c r="G59" s="206" t="s">
        <v>468</v>
      </c>
      <c r="H59" s="206">
        <v>1</v>
      </c>
      <c r="I59" s="206"/>
      <c r="J59" s="197">
        <f>'Phan tich don gia'!G374/10</f>
        <v>5910.07992</v>
      </c>
      <c r="K59" s="207">
        <v>1.35</v>
      </c>
      <c r="L59" s="207"/>
      <c r="M59" s="207"/>
      <c r="N59" s="207"/>
      <c r="O59" s="197">
        <f>ROUND(J59*K59*H59,1)</f>
        <v>7978.6</v>
      </c>
      <c r="P59" s="208"/>
      <c r="Q59" s="208"/>
      <c r="R59" s="209"/>
    </row>
    <row r="60" spans="1:18" ht="14.25">
      <c r="A60" s="203"/>
      <c r="B60" s="205"/>
      <c r="C60" s="205"/>
      <c r="D60" s="205"/>
      <c r="E60" s="205" t="s">
        <v>467</v>
      </c>
      <c r="F60" s="206"/>
      <c r="G60" s="206" t="s">
        <v>468</v>
      </c>
      <c r="H60" s="206">
        <v>3</v>
      </c>
      <c r="I60" s="206"/>
      <c r="J60" s="197">
        <f>'Phan tich don gia'!G379/10</f>
        <v>4345.647</v>
      </c>
      <c r="K60" s="207">
        <v>1.35</v>
      </c>
      <c r="L60" s="207"/>
      <c r="M60" s="207"/>
      <c r="N60" s="207"/>
      <c r="O60" s="197">
        <f>ROUND(J60*K60*H60,1)</f>
        <v>17599.9</v>
      </c>
      <c r="P60" s="208"/>
      <c r="Q60" s="208"/>
      <c r="R60" s="209"/>
    </row>
    <row r="61" spans="1:18" ht="14.25">
      <c r="A61" s="203">
        <v>35</v>
      </c>
      <c r="B61" s="205" t="s">
        <v>351</v>
      </c>
      <c r="C61" s="205" t="s">
        <v>25</v>
      </c>
      <c r="D61" s="205" t="s">
        <v>0</v>
      </c>
      <c r="E61" s="205" t="s">
        <v>0</v>
      </c>
      <c r="F61" s="206" t="s">
        <v>2</v>
      </c>
      <c r="G61" s="206" t="s">
        <v>0</v>
      </c>
      <c r="H61" s="206"/>
      <c r="I61" s="206">
        <f>I58</f>
        <v>4</v>
      </c>
      <c r="J61" s="197"/>
      <c r="K61" s="207"/>
      <c r="L61" s="207"/>
      <c r="M61" s="207"/>
      <c r="N61" s="207"/>
      <c r="O61" s="208">
        <f>O58</f>
        <v>25578.5</v>
      </c>
      <c r="P61" s="208"/>
      <c r="Q61" s="208">
        <v>281818</v>
      </c>
      <c r="R61" s="209">
        <f>O61+P61+Q61</f>
        <v>307396.5</v>
      </c>
    </row>
    <row r="62" spans="1:18" ht="14.25">
      <c r="A62" s="203">
        <v>36</v>
      </c>
      <c r="B62" s="205" t="s">
        <v>350</v>
      </c>
      <c r="C62" s="205" t="s">
        <v>25</v>
      </c>
      <c r="D62" s="205" t="s">
        <v>0</v>
      </c>
      <c r="E62" s="205" t="s">
        <v>0</v>
      </c>
      <c r="F62" s="206" t="s">
        <v>0</v>
      </c>
      <c r="G62" s="206" t="s">
        <v>0</v>
      </c>
      <c r="H62" s="206"/>
      <c r="I62" s="206" t="s">
        <v>349</v>
      </c>
      <c r="J62" s="197"/>
      <c r="K62" s="207"/>
      <c r="L62" s="207"/>
      <c r="M62" s="207"/>
      <c r="N62" s="207"/>
      <c r="O62" s="208"/>
      <c r="P62" s="208"/>
      <c r="Q62" s="208">
        <v>320000</v>
      </c>
      <c r="R62" s="209">
        <f t="shared" si="0"/>
        <v>320000</v>
      </c>
    </row>
    <row r="63" spans="1:21" ht="28.5">
      <c r="A63" s="203">
        <v>37</v>
      </c>
      <c r="B63" s="204" t="s">
        <v>545</v>
      </c>
      <c r="C63" s="205" t="s">
        <v>99</v>
      </c>
      <c r="D63" s="205" t="s">
        <v>0</v>
      </c>
      <c r="E63" s="205" t="s">
        <v>0</v>
      </c>
      <c r="F63" s="206" t="s">
        <v>0</v>
      </c>
      <c r="G63" s="206" t="s">
        <v>0</v>
      </c>
      <c r="H63" s="206"/>
      <c r="I63" s="206">
        <f>SUM(H64:H65)</f>
        <v>2</v>
      </c>
      <c r="J63" s="197"/>
      <c r="K63" s="207"/>
      <c r="L63" s="207"/>
      <c r="M63" s="207"/>
      <c r="N63" s="207"/>
      <c r="O63" s="231">
        <f>SUM(O64:O66)</f>
        <v>8067.8</v>
      </c>
      <c r="P63" s="231">
        <f>SUM(P64:P66)</f>
        <v>17951.267200000002</v>
      </c>
      <c r="Q63" s="208">
        <v>462500</v>
      </c>
      <c r="R63" s="209">
        <f>O63+P63+Q63</f>
        <v>488519.0672</v>
      </c>
      <c r="U63" s="199" t="s">
        <v>638</v>
      </c>
    </row>
    <row r="64" spans="1:18" ht="14.25">
      <c r="A64" s="203"/>
      <c r="B64" s="205"/>
      <c r="C64" s="205"/>
      <c r="D64" s="205" t="s">
        <v>602</v>
      </c>
      <c r="E64" s="205"/>
      <c r="F64" s="206"/>
      <c r="G64" s="206" t="s">
        <v>468</v>
      </c>
      <c r="H64" s="206">
        <v>1</v>
      </c>
      <c r="I64" s="206"/>
      <c r="J64" s="197">
        <f>'Phan tich don gia'!G462/10</f>
        <v>3305.94654</v>
      </c>
      <c r="K64" s="207">
        <v>1.35</v>
      </c>
      <c r="L64" s="207"/>
      <c r="M64" s="234">
        <v>0.3974</v>
      </c>
      <c r="N64" s="207"/>
      <c r="O64" s="197">
        <f>ROUND(J64*K64*H64,1)</f>
        <v>4463</v>
      </c>
      <c r="P64" s="208"/>
      <c r="Q64" s="208"/>
      <c r="R64" s="209"/>
    </row>
    <row r="65" spans="1:18" ht="14.25">
      <c r="A65" s="203"/>
      <c r="B65" s="205"/>
      <c r="C65" s="205"/>
      <c r="D65" s="205"/>
      <c r="E65" s="205" t="s">
        <v>467</v>
      </c>
      <c r="F65" s="206"/>
      <c r="G65" s="206" t="s">
        <v>468</v>
      </c>
      <c r="H65" s="206">
        <v>1</v>
      </c>
      <c r="I65" s="206"/>
      <c r="J65" s="197">
        <f>'Phan tich don gia'!G466/10</f>
        <v>2670.18759</v>
      </c>
      <c r="K65" s="207">
        <v>1.35</v>
      </c>
      <c r="L65" s="207"/>
      <c r="M65" s="234">
        <v>0.3974</v>
      </c>
      <c r="N65" s="207"/>
      <c r="O65" s="197">
        <f>ROUND(J65*K65*H65,1)</f>
        <v>3604.8</v>
      </c>
      <c r="P65" s="208"/>
      <c r="Q65" s="208"/>
      <c r="R65" s="209"/>
    </row>
    <row r="66" spans="1:18" ht="15">
      <c r="A66" s="203"/>
      <c r="B66" s="279" t="s">
        <v>609</v>
      </c>
      <c r="C66" s="205"/>
      <c r="D66" s="205"/>
      <c r="E66" s="205"/>
      <c r="F66" s="206"/>
      <c r="G66" s="206"/>
      <c r="H66" s="206"/>
      <c r="I66" s="206"/>
      <c r="J66" s="197"/>
      <c r="K66" s="207"/>
      <c r="L66" s="207"/>
      <c r="M66" s="234"/>
      <c r="N66" s="207"/>
      <c r="P66" s="197">
        <f>('Phan tich don gia'!G498+'Phan tich don gia'!G500)/2.5</f>
        <v>17951.267200000002</v>
      </c>
      <c r="Q66" s="208"/>
      <c r="R66" s="209"/>
    </row>
    <row r="67" spans="1:18" ht="28.5">
      <c r="A67" s="203">
        <v>38</v>
      </c>
      <c r="B67" s="204" t="s">
        <v>546</v>
      </c>
      <c r="C67" s="205" t="s">
        <v>99</v>
      </c>
      <c r="D67" s="205" t="s">
        <v>0</v>
      </c>
      <c r="E67" s="205" t="s">
        <v>0</v>
      </c>
      <c r="F67" s="206" t="s">
        <v>0</v>
      </c>
      <c r="G67" s="206" t="s">
        <v>0</v>
      </c>
      <c r="H67" s="206"/>
      <c r="I67" s="206">
        <f>I63</f>
        <v>2</v>
      </c>
      <c r="J67" s="197"/>
      <c r="K67" s="207"/>
      <c r="L67" s="207"/>
      <c r="M67" s="207"/>
      <c r="N67" s="207"/>
      <c r="O67" s="208">
        <f>O63</f>
        <v>8067.8</v>
      </c>
      <c r="P67" s="208">
        <f>P63</f>
        <v>17951.267200000002</v>
      </c>
      <c r="Q67" s="208">
        <v>391000</v>
      </c>
      <c r="R67" s="209">
        <f>O67+P67+Q67</f>
        <v>417019.0672</v>
      </c>
    </row>
    <row r="68" spans="1:18" s="198" customFormat="1" ht="28.5">
      <c r="A68" s="280">
        <v>39</v>
      </c>
      <c r="B68" s="281" t="s">
        <v>612</v>
      </c>
      <c r="C68" s="282" t="s">
        <v>99</v>
      </c>
      <c r="D68" s="282" t="s">
        <v>0</v>
      </c>
      <c r="E68" s="282" t="s">
        <v>0</v>
      </c>
      <c r="F68" s="283" t="s">
        <v>0</v>
      </c>
      <c r="G68" s="283" t="s">
        <v>0</v>
      </c>
      <c r="H68" s="283"/>
      <c r="I68" s="283" t="s">
        <v>349</v>
      </c>
      <c r="J68" s="284"/>
      <c r="K68" s="285"/>
      <c r="L68" s="285"/>
      <c r="M68" s="285"/>
      <c r="N68" s="285"/>
      <c r="O68" s="286"/>
      <c r="P68" s="286"/>
      <c r="Q68" s="208">
        <v>397636</v>
      </c>
      <c r="R68" s="287">
        <f t="shared" si="0"/>
        <v>397636</v>
      </c>
    </row>
    <row r="69" spans="1:18" s="198" customFormat="1" ht="15">
      <c r="A69" s="203">
        <v>40</v>
      </c>
      <c r="B69" s="204" t="s">
        <v>597</v>
      </c>
      <c r="C69" s="205" t="s">
        <v>123</v>
      </c>
      <c r="D69" s="205" t="s">
        <v>0</v>
      </c>
      <c r="E69" s="205" t="s">
        <v>0</v>
      </c>
      <c r="F69" s="206" t="s">
        <v>0</v>
      </c>
      <c r="G69" s="206" t="s">
        <v>0</v>
      </c>
      <c r="H69" s="206"/>
      <c r="I69" s="206" t="s">
        <v>349</v>
      </c>
      <c r="J69" s="197"/>
      <c r="K69" s="207"/>
      <c r="L69" s="207"/>
      <c r="M69" s="207"/>
      <c r="N69" s="207"/>
      <c r="O69" s="208"/>
      <c r="P69" s="208"/>
      <c r="Q69" s="288">
        <v>75000</v>
      </c>
      <c r="R69" s="209">
        <f t="shared" si="0"/>
        <v>75000</v>
      </c>
    </row>
    <row r="70" spans="1:18" s="198" customFormat="1" ht="15" thickBot="1">
      <c r="A70" s="289">
        <v>41</v>
      </c>
      <c r="B70" s="290" t="s">
        <v>598</v>
      </c>
      <c r="C70" s="291" t="s">
        <v>59</v>
      </c>
      <c r="D70" s="291" t="s">
        <v>0</v>
      </c>
      <c r="E70" s="291" t="s">
        <v>0</v>
      </c>
      <c r="F70" s="292" t="s">
        <v>15</v>
      </c>
      <c r="G70" s="292" t="s">
        <v>0</v>
      </c>
      <c r="H70" s="292"/>
      <c r="I70" s="292" t="s">
        <v>349</v>
      </c>
      <c r="J70" s="293"/>
      <c r="K70" s="294"/>
      <c r="L70" s="294"/>
      <c r="M70" s="294"/>
      <c r="N70" s="294"/>
      <c r="O70" s="210"/>
      <c r="P70" s="210"/>
      <c r="Q70" s="210">
        <v>15000000</v>
      </c>
      <c r="R70" s="295">
        <f t="shared" si="0"/>
        <v>15000000</v>
      </c>
    </row>
    <row r="73" spans="16:17" ht="14.25">
      <c r="P73" s="241"/>
      <c r="Q73" s="241"/>
    </row>
    <row r="74" spans="16:17" ht="14.25">
      <c r="P74" s="242"/>
      <c r="Q74" s="242"/>
    </row>
    <row r="75" spans="16:17" ht="14.25">
      <c r="P75" s="235"/>
      <c r="Q75" s="235"/>
    </row>
    <row r="76" ht="14.25">
      <c r="Q76" s="237"/>
    </row>
    <row r="79" spans="16:17" ht="14.25">
      <c r="P79" s="235"/>
      <c r="Q79" s="235"/>
    </row>
    <row r="80" ht="14.25">
      <c r="Q80" s="237"/>
    </row>
    <row r="83" spans="16:17" ht="14.25">
      <c r="P83" s="235"/>
      <c r="Q83" s="235"/>
    </row>
    <row r="84" ht="14.25">
      <c r="Q84" s="237"/>
    </row>
    <row r="88" ht="14.25">
      <c r="Q88" s="243"/>
    </row>
    <row r="89" ht="14.25">
      <c r="Q89" s="237"/>
    </row>
    <row r="90" spans="16:17" ht="14.25">
      <c r="P90" s="199"/>
      <c r="Q90" s="199"/>
    </row>
  </sheetData>
  <sheetProtection/>
  <mergeCells count="4">
    <mergeCell ref="A1:R1"/>
    <mergeCell ref="A3:R3"/>
    <mergeCell ref="A4:R4"/>
    <mergeCell ref="A5:R5"/>
  </mergeCells>
  <printOptions horizontalCentered="1"/>
  <pageMargins left="0.5" right="0.25" top="0.75" bottom="0.75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9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28" customWidth="1"/>
    <col min="2" max="2" width="7.59765625" style="28" customWidth="1"/>
    <col min="3" max="3" width="25.59765625" style="28" customWidth="1"/>
    <col min="4" max="4" width="4.8984375" style="28" customWidth="1"/>
    <col min="5" max="5" width="7.09765625" style="98" customWidth="1"/>
    <col min="6" max="8" width="6.09765625" style="89" customWidth="1"/>
    <col min="9" max="9" width="6.59765625" style="89" customWidth="1"/>
    <col min="10" max="10" width="60" style="28" hidden="1" customWidth="1"/>
    <col min="11" max="11" width="9.59765625" style="38" customWidth="1"/>
    <col min="12" max="16384" width="9" style="28" customWidth="1"/>
  </cols>
  <sheetData>
    <row r="1" spans="1:11" ht="21" customHeight="1">
      <c r="A1" s="423" t="s">
        <v>442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4.25">
      <c r="A2" s="29"/>
      <c r="B2" s="29"/>
      <c r="C2" s="29"/>
      <c r="D2" s="29"/>
      <c r="E2" s="107"/>
      <c r="F2" s="95"/>
      <c r="G2" s="95"/>
      <c r="H2" s="95"/>
      <c r="I2" s="95"/>
      <c r="J2" s="29"/>
      <c r="K2" s="39"/>
    </row>
    <row r="3" spans="1:11" s="26" customFormat="1" ht="16.5" customHeight="1">
      <c r="A3" s="422" t="s">
        <v>386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s="26" customFormat="1" ht="16.5" customHeight="1">
      <c r="A4" s="422" t="s">
        <v>387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1" s="26" customFormat="1" ht="16.5" customHeight="1">
      <c r="A5" s="422" t="s">
        <v>388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</row>
    <row r="6" spans="1:11" ht="15" thickBot="1">
      <c r="A6" s="29"/>
      <c r="B6" s="29"/>
      <c r="C6" s="29"/>
      <c r="D6" s="29"/>
      <c r="E6" s="107"/>
      <c r="F6" s="95"/>
      <c r="G6" s="95"/>
      <c r="H6" s="95"/>
      <c r="I6" s="95"/>
      <c r="J6" s="29"/>
      <c r="K6" s="39"/>
    </row>
    <row r="7" spans="1:11" ht="45" customHeight="1">
      <c r="A7" s="92" t="s">
        <v>262</v>
      </c>
      <c r="B7" s="94" t="s">
        <v>397</v>
      </c>
      <c r="C7" s="93" t="s">
        <v>398</v>
      </c>
      <c r="D7" s="94" t="s">
        <v>407</v>
      </c>
      <c r="E7" s="108" t="s">
        <v>443</v>
      </c>
      <c r="F7" s="109" t="s">
        <v>444</v>
      </c>
      <c r="G7" s="109" t="s">
        <v>445</v>
      </c>
      <c r="H7" s="109" t="s">
        <v>446</v>
      </c>
      <c r="I7" s="109" t="s">
        <v>447</v>
      </c>
      <c r="J7" s="93" t="s">
        <v>448</v>
      </c>
      <c r="K7" s="110" t="s">
        <v>449</v>
      </c>
    </row>
    <row r="8" spans="1:11" ht="14.25">
      <c r="A8" s="36" t="s">
        <v>0</v>
      </c>
      <c r="B8" s="37" t="s">
        <v>0</v>
      </c>
      <c r="C8" s="37" t="s">
        <v>1</v>
      </c>
      <c r="D8" s="37" t="s">
        <v>0</v>
      </c>
      <c r="E8" s="99" t="s">
        <v>0</v>
      </c>
      <c r="F8" s="97">
        <v>0</v>
      </c>
      <c r="G8" s="97">
        <v>0</v>
      </c>
      <c r="H8" s="97">
        <v>0</v>
      </c>
      <c r="I8" s="97">
        <v>0</v>
      </c>
      <c r="J8" s="37" t="s">
        <v>0</v>
      </c>
      <c r="K8" s="103">
        <v>0</v>
      </c>
    </row>
    <row r="9" spans="1:11" ht="14.25">
      <c r="A9" s="30" t="s">
        <v>2</v>
      </c>
      <c r="B9" s="31" t="s">
        <v>3</v>
      </c>
      <c r="C9" s="31" t="s">
        <v>4</v>
      </c>
      <c r="D9" s="31" t="s">
        <v>5</v>
      </c>
      <c r="E9" s="100" t="s">
        <v>0</v>
      </c>
      <c r="F9" s="90">
        <v>0</v>
      </c>
      <c r="G9" s="90">
        <v>0</v>
      </c>
      <c r="H9" s="90">
        <v>0</v>
      </c>
      <c r="I9" s="90">
        <v>0</v>
      </c>
      <c r="J9" s="31" t="s">
        <v>0</v>
      </c>
      <c r="K9" s="104">
        <f>SUM(K10:K10)</f>
        <v>0</v>
      </c>
    </row>
    <row r="10" spans="1:11" ht="14.25">
      <c r="A10" s="30" t="s">
        <v>0</v>
      </c>
      <c r="B10" s="31" t="s">
        <v>0</v>
      </c>
      <c r="C10" s="31" t="s">
        <v>6</v>
      </c>
      <c r="D10" s="31" t="s">
        <v>0</v>
      </c>
      <c r="E10" s="100" t="s">
        <v>0</v>
      </c>
      <c r="F10" s="90">
        <v>0</v>
      </c>
      <c r="G10" s="90">
        <v>0</v>
      </c>
      <c r="H10" s="90">
        <v>0</v>
      </c>
      <c r="I10" s="90">
        <v>0</v>
      </c>
      <c r="J10" s="31" t="s">
        <v>0</v>
      </c>
      <c r="K10" s="105">
        <v>0</v>
      </c>
    </row>
    <row r="11" spans="1:11" ht="14.25">
      <c r="A11" s="30" t="s">
        <v>11</v>
      </c>
      <c r="B11" s="31" t="s">
        <v>12</v>
      </c>
      <c r="C11" s="31" t="s">
        <v>13</v>
      </c>
      <c r="D11" s="31" t="s">
        <v>5</v>
      </c>
      <c r="E11" s="100" t="s">
        <v>0</v>
      </c>
      <c r="F11" s="90">
        <v>0</v>
      </c>
      <c r="G11" s="90">
        <v>0</v>
      </c>
      <c r="H11" s="90">
        <v>0</v>
      </c>
      <c r="I11" s="90">
        <v>0</v>
      </c>
      <c r="J11" s="31" t="s">
        <v>0</v>
      </c>
      <c r="K11" s="104">
        <f>SUM(K12:K12)</f>
        <v>0</v>
      </c>
    </row>
    <row r="12" spans="1:11" ht="14.25">
      <c r="A12" s="30" t="s">
        <v>0</v>
      </c>
      <c r="B12" s="31" t="s">
        <v>0</v>
      </c>
      <c r="C12" s="31" t="s">
        <v>14</v>
      </c>
      <c r="D12" s="31" t="s">
        <v>0</v>
      </c>
      <c r="E12" s="100" t="s">
        <v>0</v>
      </c>
      <c r="F12" s="90">
        <v>0</v>
      </c>
      <c r="G12" s="90">
        <v>0</v>
      </c>
      <c r="H12" s="90">
        <v>0</v>
      </c>
      <c r="I12" s="90">
        <v>0</v>
      </c>
      <c r="J12" s="31" t="s">
        <v>0</v>
      </c>
      <c r="K12" s="105">
        <v>0</v>
      </c>
    </row>
    <row r="13" spans="1:11" ht="14.25">
      <c r="A13" s="30" t="s">
        <v>15</v>
      </c>
      <c r="B13" s="31" t="s">
        <v>16</v>
      </c>
      <c r="C13" s="31" t="s">
        <v>17</v>
      </c>
      <c r="D13" s="31" t="s">
        <v>5</v>
      </c>
      <c r="E13" s="100" t="s">
        <v>0</v>
      </c>
      <c r="F13" s="90">
        <v>0</v>
      </c>
      <c r="G13" s="90">
        <v>0</v>
      </c>
      <c r="H13" s="90">
        <v>0</v>
      </c>
      <c r="I13" s="90">
        <v>0</v>
      </c>
      <c r="J13" s="31" t="s">
        <v>0</v>
      </c>
      <c r="K13" s="104">
        <f>SUM(K14:K14)</f>
        <v>0</v>
      </c>
    </row>
    <row r="14" spans="1:11" ht="14.25">
      <c r="A14" s="30" t="s">
        <v>0</v>
      </c>
      <c r="B14" s="31" t="s">
        <v>0</v>
      </c>
      <c r="C14" s="31" t="s">
        <v>18</v>
      </c>
      <c r="D14" s="31" t="s">
        <v>0</v>
      </c>
      <c r="E14" s="100" t="s">
        <v>0</v>
      </c>
      <c r="F14" s="90">
        <v>0</v>
      </c>
      <c r="G14" s="90">
        <v>0</v>
      </c>
      <c r="H14" s="90">
        <v>0</v>
      </c>
      <c r="I14" s="90">
        <v>0</v>
      </c>
      <c r="J14" s="31" t="s">
        <v>0</v>
      </c>
      <c r="K14" s="105">
        <v>0</v>
      </c>
    </row>
    <row r="15" spans="1:11" ht="14.25">
      <c r="A15" s="30" t="s">
        <v>20</v>
      </c>
      <c r="B15" s="31" t="s">
        <v>21</v>
      </c>
      <c r="C15" s="31" t="s">
        <v>22</v>
      </c>
      <c r="D15" s="31" t="s">
        <v>5</v>
      </c>
      <c r="E15" s="100" t="s">
        <v>0</v>
      </c>
      <c r="F15" s="90">
        <v>0</v>
      </c>
      <c r="G15" s="90">
        <v>0</v>
      </c>
      <c r="H15" s="90">
        <v>0</v>
      </c>
      <c r="I15" s="90">
        <v>0</v>
      </c>
      <c r="J15" s="31" t="s">
        <v>0</v>
      </c>
      <c r="K15" s="104">
        <f>SUM(K16:K16)</f>
        <v>0</v>
      </c>
    </row>
    <row r="16" spans="1:11" ht="14.25">
      <c r="A16" s="30" t="s">
        <v>0</v>
      </c>
      <c r="B16" s="31" t="s">
        <v>0</v>
      </c>
      <c r="C16" s="31" t="s">
        <v>23</v>
      </c>
      <c r="D16" s="31" t="s">
        <v>0</v>
      </c>
      <c r="E16" s="100" t="s">
        <v>0</v>
      </c>
      <c r="F16" s="90">
        <v>0</v>
      </c>
      <c r="G16" s="90">
        <v>0</v>
      </c>
      <c r="H16" s="90">
        <v>0</v>
      </c>
      <c r="I16" s="90">
        <v>0</v>
      </c>
      <c r="J16" s="31" t="s">
        <v>0</v>
      </c>
      <c r="K16" s="105">
        <v>0</v>
      </c>
    </row>
    <row r="17" spans="1:11" ht="14.25">
      <c r="A17" s="30" t="s">
        <v>28</v>
      </c>
      <c r="B17" s="31" t="s">
        <v>29</v>
      </c>
      <c r="C17" s="31" t="s">
        <v>30</v>
      </c>
      <c r="D17" s="31" t="s">
        <v>5</v>
      </c>
      <c r="E17" s="100" t="s">
        <v>0</v>
      </c>
      <c r="F17" s="90">
        <v>0</v>
      </c>
      <c r="G17" s="90">
        <v>0</v>
      </c>
      <c r="H17" s="90">
        <v>0</v>
      </c>
      <c r="I17" s="90">
        <v>0</v>
      </c>
      <c r="J17" s="31" t="s">
        <v>0</v>
      </c>
      <c r="K17" s="104">
        <f>SUM(K18:K18)</f>
        <v>0</v>
      </c>
    </row>
    <row r="18" spans="1:11" ht="14.25">
      <c r="A18" s="30" t="s">
        <v>0</v>
      </c>
      <c r="B18" s="31" t="s">
        <v>0</v>
      </c>
      <c r="C18" s="31" t="s">
        <v>31</v>
      </c>
      <c r="D18" s="31" t="s">
        <v>0</v>
      </c>
      <c r="E18" s="100" t="s">
        <v>0</v>
      </c>
      <c r="F18" s="90">
        <v>0</v>
      </c>
      <c r="G18" s="90">
        <v>0</v>
      </c>
      <c r="H18" s="90">
        <v>0</v>
      </c>
      <c r="I18" s="90">
        <v>0</v>
      </c>
      <c r="J18" s="31" t="s">
        <v>0</v>
      </c>
      <c r="K18" s="105">
        <v>0</v>
      </c>
    </row>
    <row r="19" spans="1:11" ht="14.25">
      <c r="A19" s="30" t="s">
        <v>40</v>
      </c>
      <c r="B19" s="31" t="s">
        <v>41</v>
      </c>
      <c r="C19" s="31" t="s">
        <v>42</v>
      </c>
      <c r="D19" s="31" t="s">
        <v>43</v>
      </c>
      <c r="E19" s="100" t="s">
        <v>0</v>
      </c>
      <c r="F19" s="90">
        <v>0</v>
      </c>
      <c r="G19" s="90">
        <v>0</v>
      </c>
      <c r="H19" s="90">
        <v>0</v>
      </c>
      <c r="I19" s="90">
        <v>0</v>
      </c>
      <c r="J19" s="31" t="s">
        <v>0</v>
      </c>
      <c r="K19" s="104">
        <f>SUM(K20:K20)</f>
        <v>0</v>
      </c>
    </row>
    <row r="20" spans="1:11" ht="14.25">
      <c r="A20" s="30" t="s">
        <v>0</v>
      </c>
      <c r="B20" s="31" t="s">
        <v>0</v>
      </c>
      <c r="C20" s="31" t="s">
        <v>0</v>
      </c>
      <c r="D20" s="31" t="s">
        <v>0</v>
      </c>
      <c r="E20" s="100" t="s">
        <v>0</v>
      </c>
      <c r="F20" s="90">
        <v>0</v>
      </c>
      <c r="G20" s="90">
        <v>0</v>
      </c>
      <c r="H20" s="90">
        <v>0</v>
      </c>
      <c r="I20" s="90">
        <v>0</v>
      </c>
      <c r="J20" s="31" t="s">
        <v>0</v>
      </c>
      <c r="K20" s="105">
        <v>0</v>
      </c>
    </row>
    <row r="21" spans="1:11" ht="14.25">
      <c r="A21" s="30" t="s">
        <v>51</v>
      </c>
      <c r="B21" s="31" t="s">
        <v>52</v>
      </c>
      <c r="C21" s="31" t="s">
        <v>53</v>
      </c>
      <c r="D21" s="31" t="s">
        <v>5</v>
      </c>
      <c r="E21" s="100" t="s">
        <v>0</v>
      </c>
      <c r="F21" s="90">
        <v>0</v>
      </c>
      <c r="G21" s="90">
        <v>0</v>
      </c>
      <c r="H21" s="90">
        <v>0</v>
      </c>
      <c r="I21" s="90">
        <v>0</v>
      </c>
      <c r="J21" s="31" t="s">
        <v>0</v>
      </c>
      <c r="K21" s="104">
        <f>SUM(K22:K22)</f>
        <v>0</v>
      </c>
    </row>
    <row r="22" spans="1:11" ht="14.25">
      <c r="A22" s="30" t="s">
        <v>0</v>
      </c>
      <c r="B22" s="31" t="s">
        <v>0</v>
      </c>
      <c r="C22" s="31" t="s">
        <v>54</v>
      </c>
      <c r="D22" s="31" t="s">
        <v>0</v>
      </c>
      <c r="E22" s="100" t="s">
        <v>0</v>
      </c>
      <c r="F22" s="90">
        <v>0</v>
      </c>
      <c r="G22" s="90">
        <v>0</v>
      </c>
      <c r="H22" s="90">
        <v>0</v>
      </c>
      <c r="I22" s="90">
        <v>0</v>
      </c>
      <c r="J22" s="31" t="s">
        <v>0</v>
      </c>
      <c r="K22" s="105">
        <v>0</v>
      </c>
    </row>
    <row r="23" spans="1:11" ht="14.25">
      <c r="A23" s="30" t="s">
        <v>56</v>
      </c>
      <c r="B23" s="31" t="s">
        <v>57</v>
      </c>
      <c r="C23" s="31" t="s">
        <v>58</v>
      </c>
      <c r="D23" s="31" t="s">
        <v>59</v>
      </c>
      <c r="E23" s="100" t="s">
        <v>0</v>
      </c>
      <c r="F23" s="90">
        <v>0</v>
      </c>
      <c r="G23" s="90">
        <v>0</v>
      </c>
      <c r="H23" s="90">
        <v>0</v>
      </c>
      <c r="I23" s="90">
        <v>0</v>
      </c>
      <c r="J23" s="31" t="s">
        <v>0</v>
      </c>
      <c r="K23" s="104">
        <f>SUM(K24:K24)</f>
        <v>0</v>
      </c>
    </row>
    <row r="24" spans="1:11" ht="14.25">
      <c r="A24" s="30" t="s">
        <v>0</v>
      </c>
      <c r="B24" s="31" t="s">
        <v>0</v>
      </c>
      <c r="C24" s="31" t="s">
        <v>60</v>
      </c>
      <c r="D24" s="31" t="s">
        <v>0</v>
      </c>
      <c r="E24" s="100" t="s">
        <v>0</v>
      </c>
      <c r="F24" s="90">
        <v>0</v>
      </c>
      <c r="G24" s="90">
        <v>0</v>
      </c>
      <c r="H24" s="90">
        <v>0</v>
      </c>
      <c r="I24" s="90">
        <v>0</v>
      </c>
      <c r="J24" s="31" t="s">
        <v>0</v>
      </c>
      <c r="K24" s="105">
        <v>0</v>
      </c>
    </row>
    <row r="25" spans="1:11" ht="14.25">
      <c r="A25" s="30" t="s">
        <v>64</v>
      </c>
      <c r="B25" s="31" t="s">
        <v>41</v>
      </c>
      <c r="C25" s="31" t="s">
        <v>65</v>
      </c>
      <c r="D25" s="31" t="s">
        <v>43</v>
      </c>
      <c r="E25" s="100" t="s">
        <v>0</v>
      </c>
      <c r="F25" s="90">
        <v>0</v>
      </c>
      <c r="G25" s="90">
        <v>0</v>
      </c>
      <c r="H25" s="90">
        <v>0</v>
      </c>
      <c r="I25" s="90">
        <v>0</v>
      </c>
      <c r="J25" s="31" t="s">
        <v>0</v>
      </c>
      <c r="K25" s="104">
        <f>SUM(K26:K26)</f>
        <v>0</v>
      </c>
    </row>
    <row r="26" spans="1:11" ht="14.25">
      <c r="A26" s="30" t="s">
        <v>0</v>
      </c>
      <c r="B26" s="31" t="s">
        <v>0</v>
      </c>
      <c r="C26" s="31" t="s">
        <v>0</v>
      </c>
      <c r="D26" s="31" t="s">
        <v>0</v>
      </c>
      <c r="E26" s="100" t="s">
        <v>0</v>
      </c>
      <c r="F26" s="90">
        <v>0</v>
      </c>
      <c r="G26" s="90">
        <v>0</v>
      </c>
      <c r="H26" s="90">
        <v>0</v>
      </c>
      <c r="I26" s="90">
        <v>0</v>
      </c>
      <c r="J26" s="31" t="s">
        <v>0</v>
      </c>
      <c r="K26" s="105">
        <v>0</v>
      </c>
    </row>
    <row r="27" spans="1:11" ht="14.25">
      <c r="A27" s="30" t="s">
        <v>66</v>
      </c>
      <c r="B27" s="31" t="s">
        <v>67</v>
      </c>
      <c r="C27" s="31" t="s">
        <v>68</v>
      </c>
      <c r="D27" s="31" t="s">
        <v>69</v>
      </c>
      <c r="E27" s="100" t="s">
        <v>0</v>
      </c>
      <c r="F27" s="90">
        <v>0</v>
      </c>
      <c r="G27" s="90">
        <v>0</v>
      </c>
      <c r="H27" s="90">
        <v>0</v>
      </c>
      <c r="I27" s="90">
        <v>0</v>
      </c>
      <c r="J27" s="31" t="s">
        <v>0</v>
      </c>
      <c r="K27" s="104">
        <f>SUM(K28:K28)</f>
        <v>0</v>
      </c>
    </row>
    <row r="28" spans="1:11" ht="14.25">
      <c r="A28" s="30" t="s">
        <v>0</v>
      </c>
      <c r="B28" s="31" t="s">
        <v>0</v>
      </c>
      <c r="C28" s="31" t="s">
        <v>0</v>
      </c>
      <c r="D28" s="31" t="s">
        <v>0</v>
      </c>
      <c r="E28" s="100" t="s">
        <v>0</v>
      </c>
      <c r="F28" s="90">
        <v>0</v>
      </c>
      <c r="G28" s="90">
        <v>0</v>
      </c>
      <c r="H28" s="90">
        <v>0</v>
      </c>
      <c r="I28" s="90">
        <v>0</v>
      </c>
      <c r="J28" s="31" t="s">
        <v>0</v>
      </c>
      <c r="K28" s="105">
        <v>0</v>
      </c>
    </row>
    <row r="29" spans="1:11" ht="14.25">
      <c r="A29" s="30" t="s">
        <v>71</v>
      </c>
      <c r="B29" s="31" t="s">
        <v>72</v>
      </c>
      <c r="C29" s="31" t="s">
        <v>73</v>
      </c>
      <c r="D29" s="31" t="s">
        <v>74</v>
      </c>
      <c r="E29" s="100" t="s">
        <v>0</v>
      </c>
      <c r="F29" s="90">
        <v>0</v>
      </c>
      <c r="G29" s="90">
        <v>0</v>
      </c>
      <c r="H29" s="90">
        <v>0</v>
      </c>
      <c r="I29" s="90">
        <v>0</v>
      </c>
      <c r="J29" s="31" t="s">
        <v>0</v>
      </c>
      <c r="K29" s="104">
        <f>SUM(K30:K30)</f>
        <v>0</v>
      </c>
    </row>
    <row r="30" spans="1:11" ht="14.25">
      <c r="A30" s="30" t="s">
        <v>0</v>
      </c>
      <c r="B30" s="31" t="s">
        <v>0</v>
      </c>
      <c r="C30" s="31" t="s">
        <v>60</v>
      </c>
      <c r="D30" s="31" t="s">
        <v>0</v>
      </c>
      <c r="E30" s="100" t="s">
        <v>0</v>
      </c>
      <c r="F30" s="90">
        <v>0</v>
      </c>
      <c r="G30" s="90">
        <v>0</v>
      </c>
      <c r="H30" s="90">
        <v>0</v>
      </c>
      <c r="I30" s="90">
        <v>0</v>
      </c>
      <c r="J30" s="31" t="s">
        <v>0</v>
      </c>
      <c r="K30" s="105">
        <v>0</v>
      </c>
    </row>
    <row r="31" spans="1:11" ht="14.25">
      <c r="A31" s="30" t="s">
        <v>76</v>
      </c>
      <c r="B31" s="31" t="s">
        <v>77</v>
      </c>
      <c r="C31" s="31" t="s">
        <v>73</v>
      </c>
      <c r="D31" s="31" t="s">
        <v>74</v>
      </c>
      <c r="E31" s="100" t="s">
        <v>0</v>
      </c>
      <c r="F31" s="90">
        <v>0</v>
      </c>
      <c r="G31" s="90">
        <v>0</v>
      </c>
      <c r="H31" s="90">
        <v>0</v>
      </c>
      <c r="I31" s="90">
        <v>0</v>
      </c>
      <c r="J31" s="31" t="s">
        <v>0</v>
      </c>
      <c r="K31" s="104">
        <f>SUM(K32:K32)</f>
        <v>0</v>
      </c>
    </row>
    <row r="32" spans="1:11" ht="14.25">
      <c r="A32" s="30" t="s">
        <v>0</v>
      </c>
      <c r="B32" s="31" t="s">
        <v>0</v>
      </c>
      <c r="C32" s="31" t="s">
        <v>78</v>
      </c>
      <c r="D32" s="31" t="s">
        <v>0</v>
      </c>
      <c r="E32" s="100" t="s">
        <v>0</v>
      </c>
      <c r="F32" s="90">
        <v>0</v>
      </c>
      <c r="G32" s="90">
        <v>0</v>
      </c>
      <c r="H32" s="90">
        <v>0</v>
      </c>
      <c r="I32" s="90">
        <v>0</v>
      </c>
      <c r="J32" s="31" t="s">
        <v>0</v>
      </c>
      <c r="K32" s="105">
        <v>0</v>
      </c>
    </row>
    <row r="33" spans="1:11" ht="14.25">
      <c r="A33" s="30" t="s">
        <v>80</v>
      </c>
      <c r="B33" s="31" t="s">
        <v>81</v>
      </c>
      <c r="C33" s="31" t="s">
        <v>82</v>
      </c>
      <c r="D33" s="31" t="s">
        <v>43</v>
      </c>
      <c r="E33" s="100" t="s">
        <v>0</v>
      </c>
      <c r="F33" s="90">
        <v>0</v>
      </c>
      <c r="G33" s="90">
        <v>0</v>
      </c>
      <c r="H33" s="90">
        <v>0</v>
      </c>
      <c r="I33" s="90">
        <v>0</v>
      </c>
      <c r="J33" s="31" t="s">
        <v>0</v>
      </c>
      <c r="K33" s="104">
        <f>SUM(K34:K34)</f>
        <v>0</v>
      </c>
    </row>
    <row r="34" spans="1:11" ht="14.25">
      <c r="A34" s="30" t="s">
        <v>0</v>
      </c>
      <c r="B34" s="31" t="s">
        <v>0</v>
      </c>
      <c r="C34" s="31" t="s">
        <v>0</v>
      </c>
      <c r="D34" s="31" t="s">
        <v>0</v>
      </c>
      <c r="E34" s="100" t="s">
        <v>0</v>
      </c>
      <c r="F34" s="90">
        <v>0</v>
      </c>
      <c r="G34" s="90">
        <v>0</v>
      </c>
      <c r="H34" s="90">
        <v>0</v>
      </c>
      <c r="I34" s="90">
        <v>0</v>
      </c>
      <c r="J34" s="31" t="s">
        <v>0</v>
      </c>
      <c r="K34" s="105">
        <v>0</v>
      </c>
    </row>
    <row r="35" spans="1:11" ht="14.25">
      <c r="A35" s="30" t="s">
        <v>83</v>
      </c>
      <c r="B35" s="31" t="s">
        <v>84</v>
      </c>
      <c r="C35" s="31" t="s">
        <v>85</v>
      </c>
      <c r="D35" s="31" t="s">
        <v>86</v>
      </c>
      <c r="E35" s="100" t="s">
        <v>0</v>
      </c>
      <c r="F35" s="90">
        <v>0</v>
      </c>
      <c r="G35" s="90">
        <v>0</v>
      </c>
      <c r="H35" s="90">
        <v>0</v>
      </c>
      <c r="I35" s="90">
        <v>0</v>
      </c>
      <c r="J35" s="31" t="s">
        <v>0</v>
      </c>
      <c r="K35" s="104">
        <f>SUM(K36:K36)</f>
        <v>0</v>
      </c>
    </row>
    <row r="36" spans="1:11" ht="14.25">
      <c r="A36" s="30" t="s">
        <v>0</v>
      </c>
      <c r="B36" s="31" t="s">
        <v>0</v>
      </c>
      <c r="C36" s="31" t="s">
        <v>0</v>
      </c>
      <c r="D36" s="31" t="s">
        <v>0</v>
      </c>
      <c r="E36" s="100" t="s">
        <v>0</v>
      </c>
      <c r="F36" s="90">
        <v>0</v>
      </c>
      <c r="G36" s="90">
        <v>0</v>
      </c>
      <c r="H36" s="90">
        <v>0</v>
      </c>
      <c r="I36" s="90">
        <v>0</v>
      </c>
      <c r="J36" s="31" t="s">
        <v>0</v>
      </c>
      <c r="K36" s="105">
        <v>0</v>
      </c>
    </row>
    <row r="37" spans="1:11" ht="14.25">
      <c r="A37" s="30" t="s">
        <v>88</v>
      </c>
      <c r="B37" s="31" t="s">
        <v>89</v>
      </c>
      <c r="C37" s="31" t="s">
        <v>90</v>
      </c>
      <c r="D37" s="31" t="s">
        <v>5</v>
      </c>
      <c r="E37" s="100" t="s">
        <v>0</v>
      </c>
      <c r="F37" s="90">
        <v>0</v>
      </c>
      <c r="G37" s="90">
        <v>0</v>
      </c>
      <c r="H37" s="90">
        <v>0</v>
      </c>
      <c r="I37" s="90">
        <v>0</v>
      </c>
      <c r="J37" s="31" t="s">
        <v>0</v>
      </c>
      <c r="K37" s="104">
        <f>SUM(K38:K38)</f>
        <v>0</v>
      </c>
    </row>
    <row r="38" spans="1:11" ht="14.25">
      <c r="A38" s="30" t="s">
        <v>0</v>
      </c>
      <c r="B38" s="31" t="s">
        <v>0</v>
      </c>
      <c r="C38" s="31" t="s">
        <v>54</v>
      </c>
      <c r="D38" s="31" t="s">
        <v>0</v>
      </c>
      <c r="E38" s="100" t="s">
        <v>0</v>
      </c>
      <c r="F38" s="90">
        <v>0</v>
      </c>
      <c r="G38" s="90">
        <v>0</v>
      </c>
      <c r="H38" s="90">
        <v>0</v>
      </c>
      <c r="I38" s="90">
        <v>0</v>
      </c>
      <c r="J38" s="31" t="s">
        <v>0</v>
      </c>
      <c r="K38" s="105">
        <v>0</v>
      </c>
    </row>
    <row r="39" spans="1:11" ht="14.25">
      <c r="A39" s="30" t="s">
        <v>91</v>
      </c>
      <c r="B39" s="31" t="s">
        <v>92</v>
      </c>
      <c r="C39" s="31" t="s">
        <v>93</v>
      </c>
      <c r="D39" s="31" t="s">
        <v>43</v>
      </c>
      <c r="E39" s="100" t="s">
        <v>0</v>
      </c>
      <c r="F39" s="90">
        <v>0</v>
      </c>
      <c r="G39" s="90">
        <v>0</v>
      </c>
      <c r="H39" s="90">
        <v>0</v>
      </c>
      <c r="I39" s="90">
        <v>0</v>
      </c>
      <c r="J39" s="31" t="s">
        <v>0</v>
      </c>
      <c r="K39" s="104">
        <f>SUM(K40:K40)</f>
        <v>0</v>
      </c>
    </row>
    <row r="40" spans="1:11" ht="14.25">
      <c r="A40" s="30" t="s">
        <v>0</v>
      </c>
      <c r="B40" s="31" t="s">
        <v>0</v>
      </c>
      <c r="C40" s="31" t="s">
        <v>0</v>
      </c>
      <c r="D40" s="31" t="s">
        <v>0</v>
      </c>
      <c r="E40" s="100" t="s">
        <v>0</v>
      </c>
      <c r="F40" s="90">
        <v>0</v>
      </c>
      <c r="G40" s="90">
        <v>0</v>
      </c>
      <c r="H40" s="90">
        <v>0</v>
      </c>
      <c r="I40" s="90">
        <v>0</v>
      </c>
      <c r="J40" s="31" t="s">
        <v>0</v>
      </c>
      <c r="K40" s="105">
        <v>0</v>
      </c>
    </row>
    <row r="41" spans="1:11" ht="14.25">
      <c r="A41" s="30" t="s">
        <v>94</v>
      </c>
      <c r="B41" s="31" t="s">
        <v>95</v>
      </c>
      <c r="C41" s="31" t="s">
        <v>96</v>
      </c>
      <c r="D41" s="31" t="s">
        <v>97</v>
      </c>
      <c r="E41" s="100" t="s">
        <v>0</v>
      </c>
      <c r="F41" s="90">
        <v>0</v>
      </c>
      <c r="G41" s="90">
        <v>0</v>
      </c>
      <c r="H41" s="90">
        <v>0</v>
      </c>
      <c r="I41" s="90">
        <v>0</v>
      </c>
      <c r="J41" s="31" t="s">
        <v>0</v>
      </c>
      <c r="K41" s="104">
        <f>SUM(K42:K42)</f>
        <v>0</v>
      </c>
    </row>
    <row r="42" spans="1:11" ht="14.25">
      <c r="A42" s="30" t="s">
        <v>0</v>
      </c>
      <c r="B42" s="31" t="s">
        <v>0</v>
      </c>
      <c r="C42" s="31" t="s">
        <v>0</v>
      </c>
      <c r="D42" s="31" t="s">
        <v>0</v>
      </c>
      <c r="E42" s="100" t="s">
        <v>0</v>
      </c>
      <c r="F42" s="90">
        <v>0</v>
      </c>
      <c r="G42" s="90">
        <v>0</v>
      </c>
      <c r="H42" s="90">
        <v>0</v>
      </c>
      <c r="I42" s="90">
        <v>0</v>
      </c>
      <c r="J42" s="31" t="s">
        <v>0</v>
      </c>
      <c r="K42" s="105">
        <v>0</v>
      </c>
    </row>
    <row r="43" spans="1:11" ht="14.25">
      <c r="A43" s="30" t="s">
        <v>103</v>
      </c>
      <c r="B43" s="31" t="s">
        <v>104</v>
      </c>
      <c r="C43" s="31" t="s">
        <v>105</v>
      </c>
      <c r="D43" s="31" t="s">
        <v>5</v>
      </c>
      <c r="E43" s="100" t="s">
        <v>0</v>
      </c>
      <c r="F43" s="90">
        <v>0</v>
      </c>
      <c r="G43" s="90">
        <v>0</v>
      </c>
      <c r="H43" s="90">
        <v>0</v>
      </c>
      <c r="I43" s="90">
        <v>0</v>
      </c>
      <c r="J43" s="31" t="s">
        <v>0</v>
      </c>
      <c r="K43" s="104">
        <f>SUM(K44:K44)</f>
        <v>0</v>
      </c>
    </row>
    <row r="44" spans="1:11" ht="14.25">
      <c r="A44" s="30" t="s">
        <v>0</v>
      </c>
      <c r="B44" s="31" t="s">
        <v>0</v>
      </c>
      <c r="C44" s="31" t="s">
        <v>106</v>
      </c>
      <c r="D44" s="31" t="s">
        <v>0</v>
      </c>
      <c r="E44" s="100" t="s">
        <v>0</v>
      </c>
      <c r="F44" s="90">
        <v>0</v>
      </c>
      <c r="G44" s="90">
        <v>0</v>
      </c>
      <c r="H44" s="90">
        <v>0</v>
      </c>
      <c r="I44" s="90">
        <v>0</v>
      </c>
      <c r="J44" s="31" t="s">
        <v>0</v>
      </c>
      <c r="K44" s="105">
        <v>0</v>
      </c>
    </row>
    <row r="45" spans="1:11" ht="14.25">
      <c r="A45" s="30" t="s">
        <v>108</v>
      </c>
      <c r="B45" s="31" t="s">
        <v>67</v>
      </c>
      <c r="C45" s="31" t="s">
        <v>109</v>
      </c>
      <c r="D45" s="31" t="s">
        <v>69</v>
      </c>
      <c r="E45" s="100" t="s">
        <v>0</v>
      </c>
      <c r="F45" s="90">
        <v>0</v>
      </c>
      <c r="G45" s="90">
        <v>0</v>
      </c>
      <c r="H45" s="90">
        <v>0</v>
      </c>
      <c r="I45" s="90">
        <v>0</v>
      </c>
      <c r="J45" s="31" t="s">
        <v>0</v>
      </c>
      <c r="K45" s="104">
        <f>SUM(K46:K46)</f>
        <v>0</v>
      </c>
    </row>
    <row r="46" spans="1:11" ht="14.25">
      <c r="A46" s="30" t="s">
        <v>0</v>
      </c>
      <c r="B46" s="31" t="s">
        <v>0</v>
      </c>
      <c r="C46" s="31" t="s">
        <v>290</v>
      </c>
      <c r="D46" s="31" t="s">
        <v>0</v>
      </c>
      <c r="E46" s="100" t="s">
        <v>0</v>
      </c>
      <c r="F46" s="90">
        <v>0</v>
      </c>
      <c r="G46" s="90">
        <v>0</v>
      </c>
      <c r="H46" s="90">
        <v>0</v>
      </c>
      <c r="I46" s="90">
        <v>0</v>
      </c>
      <c r="J46" s="31" t="s">
        <v>0</v>
      </c>
      <c r="K46" s="105">
        <v>0</v>
      </c>
    </row>
    <row r="47" spans="1:11" ht="14.25">
      <c r="A47" s="30" t="s">
        <v>110</v>
      </c>
      <c r="B47" s="31" t="s">
        <v>77</v>
      </c>
      <c r="C47" s="31" t="s">
        <v>111</v>
      </c>
      <c r="D47" s="31" t="s">
        <v>74</v>
      </c>
      <c r="E47" s="100" t="s">
        <v>0</v>
      </c>
      <c r="F47" s="90">
        <v>0</v>
      </c>
      <c r="G47" s="90">
        <v>0</v>
      </c>
      <c r="H47" s="90">
        <v>0</v>
      </c>
      <c r="I47" s="90">
        <v>0</v>
      </c>
      <c r="J47" s="31" t="s">
        <v>0</v>
      </c>
      <c r="K47" s="104">
        <f>SUM(K48:K48)</f>
        <v>0</v>
      </c>
    </row>
    <row r="48" spans="1:11" ht="14.25">
      <c r="A48" s="30" t="s">
        <v>0</v>
      </c>
      <c r="B48" s="31" t="s">
        <v>0</v>
      </c>
      <c r="C48" s="31" t="s">
        <v>112</v>
      </c>
      <c r="D48" s="31" t="s">
        <v>0</v>
      </c>
      <c r="E48" s="100" t="s">
        <v>0</v>
      </c>
      <c r="F48" s="90">
        <v>0</v>
      </c>
      <c r="G48" s="90">
        <v>0</v>
      </c>
      <c r="H48" s="90">
        <v>0</v>
      </c>
      <c r="I48" s="90">
        <v>0</v>
      </c>
      <c r="J48" s="31" t="s">
        <v>0</v>
      </c>
      <c r="K48" s="105">
        <v>0</v>
      </c>
    </row>
    <row r="49" spans="1:11" ht="14.25">
      <c r="A49" s="30" t="s">
        <v>113</v>
      </c>
      <c r="B49" s="31" t="s">
        <v>81</v>
      </c>
      <c r="C49" s="31" t="s">
        <v>114</v>
      </c>
      <c r="D49" s="31" t="s">
        <v>43</v>
      </c>
      <c r="E49" s="100" t="s">
        <v>0</v>
      </c>
      <c r="F49" s="90">
        <v>0</v>
      </c>
      <c r="G49" s="90">
        <v>0</v>
      </c>
      <c r="H49" s="90">
        <v>0</v>
      </c>
      <c r="I49" s="90">
        <v>0</v>
      </c>
      <c r="J49" s="31" t="s">
        <v>0</v>
      </c>
      <c r="K49" s="104">
        <f>SUM(K50:K50)</f>
        <v>0</v>
      </c>
    </row>
    <row r="50" spans="1:11" ht="14.25">
      <c r="A50" s="30" t="s">
        <v>0</v>
      </c>
      <c r="B50" s="31" t="s">
        <v>0</v>
      </c>
      <c r="C50" s="31" t="s">
        <v>289</v>
      </c>
      <c r="D50" s="31" t="s">
        <v>0</v>
      </c>
      <c r="E50" s="100" t="s">
        <v>0</v>
      </c>
      <c r="F50" s="90">
        <v>0</v>
      </c>
      <c r="G50" s="90">
        <v>0</v>
      </c>
      <c r="H50" s="90">
        <v>0</v>
      </c>
      <c r="I50" s="90">
        <v>0</v>
      </c>
      <c r="J50" s="31" t="s">
        <v>0</v>
      </c>
      <c r="K50" s="105">
        <v>0</v>
      </c>
    </row>
    <row r="51" spans="1:11" ht="14.25">
      <c r="A51" s="30" t="s">
        <v>115</v>
      </c>
      <c r="B51" s="31" t="s">
        <v>84</v>
      </c>
      <c r="C51" s="31" t="s">
        <v>116</v>
      </c>
      <c r="D51" s="31" t="s">
        <v>86</v>
      </c>
      <c r="E51" s="100" t="s">
        <v>0</v>
      </c>
      <c r="F51" s="90">
        <v>0</v>
      </c>
      <c r="G51" s="90">
        <v>0</v>
      </c>
      <c r="H51" s="90">
        <v>0</v>
      </c>
      <c r="I51" s="90">
        <v>0</v>
      </c>
      <c r="J51" s="31" t="s">
        <v>0</v>
      </c>
      <c r="K51" s="104">
        <f>SUM(K52:K54)</f>
        <v>0</v>
      </c>
    </row>
    <row r="52" spans="1:11" ht="14.25">
      <c r="A52" s="30" t="s">
        <v>0</v>
      </c>
      <c r="B52" s="31" t="s">
        <v>0</v>
      </c>
      <c r="C52" s="31" t="s">
        <v>288</v>
      </c>
      <c r="D52" s="31" t="s">
        <v>0</v>
      </c>
      <c r="E52" s="100" t="s">
        <v>0</v>
      </c>
      <c r="F52" s="90">
        <v>0</v>
      </c>
      <c r="G52" s="90">
        <v>0</v>
      </c>
      <c r="H52" s="90">
        <v>0</v>
      </c>
      <c r="I52" s="90">
        <v>0</v>
      </c>
      <c r="J52" s="31" t="s">
        <v>0</v>
      </c>
      <c r="K52" s="105">
        <v>0</v>
      </c>
    </row>
    <row r="53" spans="1:11" ht="14.25">
      <c r="A53" s="30" t="s">
        <v>0</v>
      </c>
      <c r="B53" s="31" t="s">
        <v>0</v>
      </c>
      <c r="C53" s="31" t="s">
        <v>0</v>
      </c>
      <c r="D53" s="31" t="s">
        <v>0</v>
      </c>
      <c r="E53" s="100" t="s">
        <v>0</v>
      </c>
      <c r="F53" s="90">
        <v>0</v>
      </c>
      <c r="G53" s="90">
        <v>0</v>
      </c>
      <c r="H53" s="90">
        <v>0</v>
      </c>
      <c r="I53" s="90">
        <v>0</v>
      </c>
      <c r="J53" s="31" t="s">
        <v>0</v>
      </c>
      <c r="K53" s="105">
        <v>0</v>
      </c>
    </row>
    <row r="54" spans="1:11" ht="14.25">
      <c r="A54" s="32" t="s">
        <v>0</v>
      </c>
      <c r="B54" s="33" t="s">
        <v>0</v>
      </c>
      <c r="C54" s="33" t="s">
        <v>117</v>
      </c>
      <c r="D54" s="33" t="s">
        <v>0</v>
      </c>
      <c r="E54" s="101" t="s">
        <v>0</v>
      </c>
      <c r="F54" s="96">
        <v>0</v>
      </c>
      <c r="G54" s="96">
        <v>0</v>
      </c>
      <c r="H54" s="96">
        <v>0</v>
      </c>
      <c r="I54" s="96">
        <v>0</v>
      </c>
      <c r="J54" s="33" t="s">
        <v>0</v>
      </c>
      <c r="K54" s="104">
        <v>0</v>
      </c>
    </row>
    <row r="55" spans="1:11" ht="14.25">
      <c r="A55" s="30" t="s">
        <v>118</v>
      </c>
      <c r="B55" s="31" t="s">
        <v>119</v>
      </c>
      <c r="C55" s="31" t="s">
        <v>120</v>
      </c>
      <c r="D55" s="31" t="s">
        <v>121</v>
      </c>
      <c r="E55" s="100" t="s">
        <v>0</v>
      </c>
      <c r="F55" s="90">
        <v>0</v>
      </c>
      <c r="G55" s="90">
        <v>0</v>
      </c>
      <c r="H55" s="90">
        <v>0</v>
      </c>
      <c r="I55" s="90">
        <v>0</v>
      </c>
      <c r="J55" s="31" t="s">
        <v>0</v>
      </c>
      <c r="K55" s="104">
        <f>SUM(K56:K56)</f>
        <v>0</v>
      </c>
    </row>
    <row r="56" spans="1:11" ht="14.25">
      <c r="A56" s="30" t="s">
        <v>0</v>
      </c>
      <c r="B56" s="31" t="s">
        <v>0</v>
      </c>
      <c r="C56" s="31" t="s">
        <v>0</v>
      </c>
      <c r="D56" s="31" t="s">
        <v>0</v>
      </c>
      <c r="E56" s="100" t="s">
        <v>0</v>
      </c>
      <c r="F56" s="90">
        <v>0</v>
      </c>
      <c r="G56" s="90">
        <v>0</v>
      </c>
      <c r="H56" s="90">
        <v>0</v>
      </c>
      <c r="I56" s="90">
        <v>0</v>
      </c>
      <c r="J56" s="31" t="s">
        <v>0</v>
      </c>
      <c r="K56" s="105">
        <v>0</v>
      </c>
    </row>
    <row r="57" spans="1:11" ht="14.25">
      <c r="A57" s="30" t="s">
        <v>125</v>
      </c>
      <c r="B57" s="31" t="s">
        <v>126</v>
      </c>
      <c r="C57" s="31" t="s">
        <v>127</v>
      </c>
      <c r="D57" s="31" t="s">
        <v>5</v>
      </c>
      <c r="E57" s="100" t="s">
        <v>0</v>
      </c>
      <c r="F57" s="90">
        <v>0</v>
      </c>
      <c r="G57" s="90">
        <v>0</v>
      </c>
      <c r="H57" s="90">
        <v>0</v>
      </c>
      <c r="I57" s="90">
        <v>0</v>
      </c>
      <c r="J57" s="31" t="s">
        <v>0</v>
      </c>
      <c r="K57" s="104">
        <f>SUM(K58:K58)</f>
        <v>0</v>
      </c>
    </row>
    <row r="58" spans="1:11" ht="14.25">
      <c r="A58" s="30" t="s">
        <v>0</v>
      </c>
      <c r="B58" s="31" t="s">
        <v>0</v>
      </c>
      <c r="C58" s="31" t="s">
        <v>0</v>
      </c>
      <c r="D58" s="31" t="s">
        <v>0</v>
      </c>
      <c r="E58" s="100" t="s">
        <v>0</v>
      </c>
      <c r="F58" s="90">
        <v>0</v>
      </c>
      <c r="G58" s="90">
        <v>0</v>
      </c>
      <c r="H58" s="90">
        <v>0</v>
      </c>
      <c r="I58" s="90">
        <v>0</v>
      </c>
      <c r="J58" s="31" t="s">
        <v>0</v>
      </c>
      <c r="K58" s="105">
        <v>0</v>
      </c>
    </row>
    <row r="59" spans="1:11" ht="14.25">
      <c r="A59" s="30" t="s">
        <v>130</v>
      </c>
      <c r="B59" s="31" t="s">
        <v>3</v>
      </c>
      <c r="C59" s="31" t="s">
        <v>131</v>
      </c>
      <c r="D59" s="31" t="s">
        <v>5</v>
      </c>
      <c r="E59" s="100" t="s">
        <v>0</v>
      </c>
      <c r="F59" s="90">
        <v>0</v>
      </c>
      <c r="G59" s="90">
        <v>0</v>
      </c>
      <c r="H59" s="90">
        <v>0</v>
      </c>
      <c r="I59" s="90">
        <v>0</v>
      </c>
      <c r="J59" s="31" t="s">
        <v>0</v>
      </c>
      <c r="K59" s="104">
        <f>SUM(K60:K60)</f>
        <v>0</v>
      </c>
    </row>
    <row r="60" spans="1:11" ht="14.25">
      <c r="A60" s="30" t="s">
        <v>0</v>
      </c>
      <c r="B60" s="31" t="s">
        <v>0</v>
      </c>
      <c r="C60" s="31" t="s">
        <v>132</v>
      </c>
      <c r="D60" s="31" t="s">
        <v>0</v>
      </c>
      <c r="E60" s="100" t="s">
        <v>0</v>
      </c>
      <c r="F60" s="90">
        <v>0</v>
      </c>
      <c r="G60" s="90">
        <v>0</v>
      </c>
      <c r="H60" s="90">
        <v>0</v>
      </c>
      <c r="I60" s="90">
        <v>0</v>
      </c>
      <c r="J60" s="31" t="s">
        <v>0</v>
      </c>
      <c r="K60" s="105">
        <v>0</v>
      </c>
    </row>
    <row r="61" spans="1:11" ht="14.25">
      <c r="A61" s="30" t="s">
        <v>133</v>
      </c>
      <c r="B61" s="31" t="s">
        <v>16</v>
      </c>
      <c r="C61" s="31" t="s">
        <v>17</v>
      </c>
      <c r="D61" s="31" t="s">
        <v>5</v>
      </c>
      <c r="E61" s="100" t="s">
        <v>0</v>
      </c>
      <c r="F61" s="90">
        <v>0</v>
      </c>
      <c r="G61" s="90">
        <v>0</v>
      </c>
      <c r="H61" s="90">
        <v>0</v>
      </c>
      <c r="I61" s="90">
        <v>0</v>
      </c>
      <c r="J61" s="31" t="s">
        <v>0</v>
      </c>
      <c r="K61" s="104">
        <f>SUM(K62:K62)</f>
        <v>0</v>
      </c>
    </row>
    <row r="62" spans="1:11" ht="14.25">
      <c r="A62" s="30" t="s">
        <v>0</v>
      </c>
      <c r="B62" s="31" t="s">
        <v>0</v>
      </c>
      <c r="C62" s="31" t="s">
        <v>134</v>
      </c>
      <c r="D62" s="31" t="s">
        <v>0</v>
      </c>
      <c r="E62" s="100" t="s">
        <v>0</v>
      </c>
      <c r="F62" s="90">
        <v>0</v>
      </c>
      <c r="G62" s="90">
        <v>0</v>
      </c>
      <c r="H62" s="90">
        <v>0</v>
      </c>
      <c r="I62" s="90">
        <v>0</v>
      </c>
      <c r="J62" s="31" t="s">
        <v>0</v>
      </c>
      <c r="K62" s="105">
        <v>0</v>
      </c>
    </row>
    <row r="63" spans="1:11" ht="14.25">
      <c r="A63" s="30" t="s">
        <v>135</v>
      </c>
      <c r="B63" s="31" t="s">
        <v>21</v>
      </c>
      <c r="C63" s="31" t="s">
        <v>22</v>
      </c>
      <c r="D63" s="31" t="s">
        <v>5</v>
      </c>
      <c r="E63" s="100" t="s">
        <v>0</v>
      </c>
      <c r="F63" s="90">
        <v>0</v>
      </c>
      <c r="G63" s="90">
        <v>0</v>
      </c>
      <c r="H63" s="90">
        <v>0</v>
      </c>
      <c r="I63" s="90">
        <v>0</v>
      </c>
      <c r="J63" s="31" t="s">
        <v>0</v>
      </c>
      <c r="K63" s="104">
        <f>SUM(K64:K64)</f>
        <v>0</v>
      </c>
    </row>
    <row r="64" spans="1:11" ht="14.25">
      <c r="A64" s="30" t="s">
        <v>0</v>
      </c>
      <c r="B64" s="31" t="s">
        <v>0</v>
      </c>
      <c r="C64" s="31" t="s">
        <v>136</v>
      </c>
      <c r="D64" s="31" t="s">
        <v>0</v>
      </c>
      <c r="E64" s="100" t="s">
        <v>0</v>
      </c>
      <c r="F64" s="90">
        <v>0</v>
      </c>
      <c r="G64" s="90">
        <v>0</v>
      </c>
      <c r="H64" s="90">
        <v>0</v>
      </c>
      <c r="I64" s="90">
        <v>0</v>
      </c>
      <c r="J64" s="31" t="s">
        <v>0</v>
      </c>
      <c r="K64" s="105">
        <v>0</v>
      </c>
    </row>
    <row r="65" spans="1:11" ht="14.25">
      <c r="A65" s="30" t="s">
        <v>137</v>
      </c>
      <c r="B65" s="31" t="s">
        <v>138</v>
      </c>
      <c r="C65" s="31" t="s">
        <v>139</v>
      </c>
      <c r="D65" s="31" t="s">
        <v>140</v>
      </c>
      <c r="E65" s="100" t="s">
        <v>0</v>
      </c>
      <c r="F65" s="90">
        <v>0</v>
      </c>
      <c r="G65" s="90">
        <v>0</v>
      </c>
      <c r="H65" s="90">
        <v>0</v>
      </c>
      <c r="I65" s="90">
        <v>0</v>
      </c>
      <c r="J65" s="31" t="s">
        <v>0</v>
      </c>
      <c r="K65" s="104">
        <f>SUM(K66:K66)</f>
        <v>0</v>
      </c>
    </row>
    <row r="66" spans="1:11" ht="14.25">
      <c r="A66" s="30" t="s">
        <v>0</v>
      </c>
      <c r="B66" s="31" t="s">
        <v>0</v>
      </c>
      <c r="C66" s="31" t="s">
        <v>0</v>
      </c>
      <c r="D66" s="31" t="s">
        <v>0</v>
      </c>
      <c r="E66" s="100" t="s">
        <v>0</v>
      </c>
      <c r="F66" s="90">
        <v>0</v>
      </c>
      <c r="G66" s="90">
        <v>0</v>
      </c>
      <c r="H66" s="90">
        <v>0</v>
      </c>
      <c r="I66" s="90">
        <v>0</v>
      </c>
      <c r="J66" s="31" t="s">
        <v>0</v>
      </c>
      <c r="K66" s="105">
        <v>0</v>
      </c>
    </row>
    <row r="67" spans="1:11" ht="14.25">
      <c r="A67" s="30" t="s">
        <v>142</v>
      </c>
      <c r="B67" s="31" t="s">
        <v>143</v>
      </c>
      <c r="C67" s="31" t="s">
        <v>144</v>
      </c>
      <c r="D67" s="31" t="s">
        <v>97</v>
      </c>
      <c r="E67" s="100" t="s">
        <v>0</v>
      </c>
      <c r="F67" s="90">
        <v>0</v>
      </c>
      <c r="G67" s="90">
        <v>0</v>
      </c>
      <c r="H67" s="90">
        <v>0</v>
      </c>
      <c r="I67" s="90">
        <v>0</v>
      </c>
      <c r="J67" s="31" t="s">
        <v>0</v>
      </c>
      <c r="K67" s="104">
        <f>SUM(K68:K68)</f>
        <v>0</v>
      </c>
    </row>
    <row r="68" spans="1:11" ht="14.25">
      <c r="A68" s="30" t="s">
        <v>0</v>
      </c>
      <c r="B68" s="31" t="s">
        <v>0</v>
      </c>
      <c r="C68" s="31" t="s">
        <v>145</v>
      </c>
      <c r="D68" s="31" t="s">
        <v>0</v>
      </c>
      <c r="E68" s="100" t="s">
        <v>0</v>
      </c>
      <c r="F68" s="90">
        <v>0</v>
      </c>
      <c r="G68" s="90">
        <v>0</v>
      </c>
      <c r="H68" s="90">
        <v>0</v>
      </c>
      <c r="I68" s="90">
        <v>0</v>
      </c>
      <c r="J68" s="31" t="s">
        <v>0</v>
      </c>
      <c r="K68" s="105">
        <v>0</v>
      </c>
    </row>
    <row r="69" spans="1:11" ht="14.25">
      <c r="A69" s="30" t="s">
        <v>148</v>
      </c>
      <c r="B69" s="31" t="s">
        <v>149</v>
      </c>
      <c r="C69" s="31" t="s">
        <v>150</v>
      </c>
      <c r="D69" s="31" t="s">
        <v>97</v>
      </c>
      <c r="E69" s="100" t="s">
        <v>0</v>
      </c>
      <c r="F69" s="90">
        <v>0</v>
      </c>
      <c r="G69" s="90">
        <v>0</v>
      </c>
      <c r="H69" s="90">
        <v>0</v>
      </c>
      <c r="I69" s="90">
        <v>0</v>
      </c>
      <c r="J69" s="31" t="s">
        <v>0</v>
      </c>
      <c r="K69" s="104">
        <f>SUM(K70:K70)</f>
        <v>0</v>
      </c>
    </row>
    <row r="70" spans="1:11" ht="14.25">
      <c r="A70" s="30" t="s">
        <v>0</v>
      </c>
      <c r="B70" s="31" t="s">
        <v>0</v>
      </c>
      <c r="C70" s="31" t="s">
        <v>151</v>
      </c>
      <c r="D70" s="31" t="s">
        <v>0</v>
      </c>
      <c r="E70" s="100" t="s">
        <v>0</v>
      </c>
      <c r="F70" s="90">
        <v>0</v>
      </c>
      <c r="G70" s="90">
        <v>0</v>
      </c>
      <c r="H70" s="90">
        <v>0</v>
      </c>
      <c r="I70" s="90">
        <v>0</v>
      </c>
      <c r="J70" s="31" t="s">
        <v>0</v>
      </c>
      <c r="K70" s="105">
        <v>0</v>
      </c>
    </row>
    <row r="71" spans="1:11" ht="14.25">
      <c r="A71" s="30" t="s">
        <v>153</v>
      </c>
      <c r="B71" s="31" t="s">
        <v>154</v>
      </c>
      <c r="C71" s="31" t="s">
        <v>155</v>
      </c>
      <c r="D71" s="31" t="s">
        <v>156</v>
      </c>
      <c r="E71" s="100" t="s">
        <v>0</v>
      </c>
      <c r="F71" s="90">
        <v>0</v>
      </c>
      <c r="G71" s="90">
        <v>0</v>
      </c>
      <c r="H71" s="90">
        <v>0</v>
      </c>
      <c r="I71" s="90">
        <v>0</v>
      </c>
      <c r="J71" s="31" t="s">
        <v>0</v>
      </c>
      <c r="K71" s="104">
        <f>SUM(K72:K72)</f>
        <v>0</v>
      </c>
    </row>
    <row r="72" spans="1:11" ht="14.25">
      <c r="A72" s="30" t="s">
        <v>0</v>
      </c>
      <c r="B72" s="31" t="s">
        <v>0</v>
      </c>
      <c r="C72" s="31" t="s">
        <v>157</v>
      </c>
      <c r="D72" s="31" t="s">
        <v>0</v>
      </c>
      <c r="E72" s="100" t="s">
        <v>0</v>
      </c>
      <c r="F72" s="90">
        <v>0</v>
      </c>
      <c r="G72" s="90">
        <v>0</v>
      </c>
      <c r="H72" s="90">
        <v>0</v>
      </c>
      <c r="I72" s="90">
        <v>0</v>
      </c>
      <c r="J72" s="31" t="s">
        <v>0</v>
      </c>
      <c r="K72" s="105">
        <v>0</v>
      </c>
    </row>
    <row r="73" spans="1:11" ht="14.25">
      <c r="A73" s="30" t="s">
        <v>161</v>
      </c>
      <c r="B73" s="31" t="s">
        <v>3</v>
      </c>
      <c r="C73" s="31" t="s">
        <v>162</v>
      </c>
      <c r="D73" s="31" t="s">
        <v>5</v>
      </c>
      <c r="E73" s="100" t="s">
        <v>0</v>
      </c>
      <c r="F73" s="90">
        <v>0</v>
      </c>
      <c r="G73" s="90">
        <v>0</v>
      </c>
      <c r="H73" s="90">
        <v>0</v>
      </c>
      <c r="I73" s="90">
        <v>0</v>
      </c>
      <c r="J73" s="31" t="s">
        <v>0</v>
      </c>
      <c r="K73" s="104">
        <f>SUM(K74:K74)</f>
        <v>0</v>
      </c>
    </row>
    <row r="74" spans="1:11" ht="14.25">
      <c r="A74" s="30" t="s">
        <v>0</v>
      </c>
      <c r="B74" s="31" t="s">
        <v>0</v>
      </c>
      <c r="C74" s="31" t="s">
        <v>163</v>
      </c>
      <c r="D74" s="31" t="s">
        <v>0</v>
      </c>
      <c r="E74" s="100" t="s">
        <v>0</v>
      </c>
      <c r="F74" s="90">
        <v>0</v>
      </c>
      <c r="G74" s="90">
        <v>0</v>
      </c>
      <c r="H74" s="90">
        <v>0</v>
      </c>
      <c r="I74" s="90">
        <v>0</v>
      </c>
      <c r="J74" s="31" t="s">
        <v>0</v>
      </c>
      <c r="K74" s="105">
        <v>0</v>
      </c>
    </row>
    <row r="75" spans="1:11" ht="14.25">
      <c r="A75" s="30" t="s">
        <v>164</v>
      </c>
      <c r="B75" s="31" t="s">
        <v>165</v>
      </c>
      <c r="C75" s="31" t="s">
        <v>166</v>
      </c>
      <c r="D75" s="31" t="s">
        <v>167</v>
      </c>
      <c r="E75" s="100" t="s">
        <v>0</v>
      </c>
      <c r="F75" s="90">
        <v>0</v>
      </c>
      <c r="G75" s="90">
        <v>0</v>
      </c>
      <c r="H75" s="90">
        <v>0</v>
      </c>
      <c r="I75" s="90">
        <v>0</v>
      </c>
      <c r="J75" s="31" t="s">
        <v>0</v>
      </c>
      <c r="K75" s="104">
        <f>SUM(K76:K76)</f>
        <v>0</v>
      </c>
    </row>
    <row r="76" spans="1:11" ht="14.25">
      <c r="A76" s="30" t="s">
        <v>0</v>
      </c>
      <c r="B76" s="31" t="s">
        <v>0</v>
      </c>
      <c r="C76" s="31" t="s">
        <v>0</v>
      </c>
      <c r="D76" s="31" t="s">
        <v>0</v>
      </c>
      <c r="E76" s="100" t="s">
        <v>0</v>
      </c>
      <c r="F76" s="90">
        <v>0</v>
      </c>
      <c r="G76" s="90">
        <v>0</v>
      </c>
      <c r="H76" s="90">
        <v>0</v>
      </c>
      <c r="I76" s="90">
        <v>0</v>
      </c>
      <c r="J76" s="31" t="s">
        <v>0</v>
      </c>
      <c r="K76" s="105">
        <v>0</v>
      </c>
    </row>
    <row r="77" spans="1:11" ht="14.25">
      <c r="A77" s="30" t="s">
        <v>176</v>
      </c>
      <c r="B77" s="31" t="s">
        <v>177</v>
      </c>
      <c r="C77" s="31" t="s">
        <v>178</v>
      </c>
      <c r="D77" s="31" t="s">
        <v>179</v>
      </c>
      <c r="E77" s="100" t="s">
        <v>0</v>
      </c>
      <c r="F77" s="90">
        <v>0</v>
      </c>
      <c r="G77" s="90">
        <v>0</v>
      </c>
      <c r="H77" s="90">
        <v>0</v>
      </c>
      <c r="I77" s="90">
        <v>0</v>
      </c>
      <c r="J77" s="31" t="s">
        <v>0</v>
      </c>
      <c r="K77" s="104">
        <f>SUM(K78:K78)</f>
        <v>0</v>
      </c>
    </row>
    <row r="78" spans="1:11" ht="14.25">
      <c r="A78" s="30" t="s">
        <v>0</v>
      </c>
      <c r="B78" s="31" t="s">
        <v>0</v>
      </c>
      <c r="C78" s="31" t="s">
        <v>0</v>
      </c>
      <c r="D78" s="31" t="s">
        <v>0</v>
      </c>
      <c r="E78" s="100" t="s">
        <v>0</v>
      </c>
      <c r="F78" s="90">
        <v>0</v>
      </c>
      <c r="G78" s="90">
        <v>0</v>
      </c>
      <c r="H78" s="90">
        <v>0</v>
      </c>
      <c r="I78" s="90">
        <v>0</v>
      </c>
      <c r="J78" s="31" t="s">
        <v>0</v>
      </c>
      <c r="K78" s="105">
        <v>0</v>
      </c>
    </row>
    <row r="79" spans="1:11" ht="14.25">
      <c r="A79" s="30" t="s">
        <v>180</v>
      </c>
      <c r="B79" s="31" t="s">
        <v>181</v>
      </c>
      <c r="C79" s="31" t="s">
        <v>182</v>
      </c>
      <c r="D79" s="31" t="s">
        <v>5</v>
      </c>
      <c r="E79" s="100" t="s">
        <v>0</v>
      </c>
      <c r="F79" s="90">
        <v>0</v>
      </c>
      <c r="G79" s="90">
        <v>0</v>
      </c>
      <c r="H79" s="90">
        <v>0</v>
      </c>
      <c r="I79" s="90">
        <v>0</v>
      </c>
      <c r="J79" s="31" t="s">
        <v>0</v>
      </c>
      <c r="K79" s="104">
        <f>SUM(K80:K80)</f>
        <v>0</v>
      </c>
    </row>
    <row r="80" spans="1:11" ht="14.25">
      <c r="A80" s="30" t="s">
        <v>0</v>
      </c>
      <c r="B80" s="31" t="s">
        <v>0</v>
      </c>
      <c r="C80" s="31" t="s">
        <v>54</v>
      </c>
      <c r="D80" s="31" t="s">
        <v>0</v>
      </c>
      <c r="E80" s="100" t="s">
        <v>0</v>
      </c>
      <c r="F80" s="90">
        <v>0</v>
      </c>
      <c r="G80" s="90">
        <v>0</v>
      </c>
      <c r="H80" s="90">
        <v>0</v>
      </c>
      <c r="I80" s="90">
        <v>0</v>
      </c>
      <c r="J80" s="31" t="s">
        <v>0</v>
      </c>
      <c r="K80" s="105">
        <v>0</v>
      </c>
    </row>
    <row r="81" spans="1:11" ht="14.25">
      <c r="A81" s="30" t="s">
        <v>186</v>
      </c>
      <c r="B81" s="31" t="s">
        <v>187</v>
      </c>
      <c r="C81" s="31" t="s">
        <v>188</v>
      </c>
      <c r="D81" s="31" t="s">
        <v>43</v>
      </c>
      <c r="E81" s="100" t="s">
        <v>0</v>
      </c>
      <c r="F81" s="90">
        <v>0</v>
      </c>
      <c r="G81" s="90">
        <v>0</v>
      </c>
      <c r="H81" s="90">
        <v>0</v>
      </c>
      <c r="I81" s="90">
        <v>0</v>
      </c>
      <c r="J81" s="31" t="s">
        <v>0</v>
      </c>
      <c r="K81" s="104">
        <f>SUM(K82:K82)</f>
        <v>0</v>
      </c>
    </row>
    <row r="82" spans="1:11" ht="14.25">
      <c r="A82" s="30" t="s">
        <v>0</v>
      </c>
      <c r="B82" s="31" t="s">
        <v>0</v>
      </c>
      <c r="C82" s="31" t="s">
        <v>0</v>
      </c>
      <c r="D82" s="31" t="s">
        <v>0</v>
      </c>
      <c r="E82" s="100" t="s">
        <v>0</v>
      </c>
      <c r="F82" s="90">
        <v>0</v>
      </c>
      <c r="G82" s="90">
        <v>0</v>
      </c>
      <c r="H82" s="90">
        <v>0</v>
      </c>
      <c r="I82" s="90">
        <v>0</v>
      </c>
      <c r="J82" s="31" t="s">
        <v>0</v>
      </c>
      <c r="K82" s="105">
        <v>0</v>
      </c>
    </row>
    <row r="83" spans="1:11" ht="14.25">
      <c r="A83" s="30" t="s">
        <v>191</v>
      </c>
      <c r="B83" s="31" t="s">
        <v>192</v>
      </c>
      <c r="C83" s="31" t="s">
        <v>193</v>
      </c>
      <c r="D83" s="31" t="s">
        <v>5</v>
      </c>
      <c r="E83" s="100" t="s">
        <v>0</v>
      </c>
      <c r="F83" s="90">
        <v>0</v>
      </c>
      <c r="G83" s="90">
        <v>0</v>
      </c>
      <c r="H83" s="90">
        <v>0</v>
      </c>
      <c r="I83" s="90">
        <v>0</v>
      </c>
      <c r="J83" s="31" t="s">
        <v>0</v>
      </c>
      <c r="K83" s="104">
        <f>SUM(K84:K84)</f>
        <v>0</v>
      </c>
    </row>
    <row r="84" spans="1:11" ht="14.25">
      <c r="A84" s="30" t="s">
        <v>0</v>
      </c>
      <c r="B84" s="31" t="s">
        <v>0</v>
      </c>
      <c r="C84" s="31" t="s">
        <v>0</v>
      </c>
      <c r="D84" s="31" t="s">
        <v>0</v>
      </c>
      <c r="E84" s="100" t="s">
        <v>0</v>
      </c>
      <c r="F84" s="90">
        <v>0</v>
      </c>
      <c r="G84" s="90">
        <v>0</v>
      </c>
      <c r="H84" s="90">
        <v>0</v>
      </c>
      <c r="I84" s="90">
        <v>0</v>
      </c>
      <c r="J84" s="31" t="s">
        <v>0</v>
      </c>
      <c r="K84" s="105">
        <v>0</v>
      </c>
    </row>
    <row r="85" spans="1:11" ht="14.25">
      <c r="A85" s="30" t="s">
        <v>199</v>
      </c>
      <c r="B85" s="31" t="s">
        <v>200</v>
      </c>
      <c r="C85" s="31" t="s">
        <v>201</v>
      </c>
      <c r="D85" s="31" t="s">
        <v>43</v>
      </c>
      <c r="E85" s="100" t="s">
        <v>0</v>
      </c>
      <c r="F85" s="90">
        <v>0</v>
      </c>
      <c r="G85" s="90">
        <v>0</v>
      </c>
      <c r="H85" s="90">
        <v>0</v>
      </c>
      <c r="I85" s="90">
        <v>0</v>
      </c>
      <c r="J85" s="31" t="s">
        <v>0</v>
      </c>
      <c r="K85" s="104">
        <f>SUM(K86:K86)</f>
        <v>0</v>
      </c>
    </row>
    <row r="86" spans="1:11" ht="14.25">
      <c r="A86" s="30" t="s">
        <v>0</v>
      </c>
      <c r="B86" s="31" t="s">
        <v>0</v>
      </c>
      <c r="C86" s="31" t="s">
        <v>0</v>
      </c>
      <c r="D86" s="31" t="s">
        <v>0</v>
      </c>
      <c r="E86" s="100" t="s">
        <v>0</v>
      </c>
      <c r="F86" s="90">
        <v>0</v>
      </c>
      <c r="G86" s="90">
        <v>0</v>
      </c>
      <c r="H86" s="90">
        <v>0</v>
      </c>
      <c r="I86" s="90">
        <v>0</v>
      </c>
      <c r="J86" s="31" t="s">
        <v>0</v>
      </c>
      <c r="K86" s="105">
        <v>0</v>
      </c>
    </row>
    <row r="87" spans="1:11" ht="14.25">
      <c r="A87" s="30" t="s">
        <v>203</v>
      </c>
      <c r="B87" s="31" t="s">
        <v>204</v>
      </c>
      <c r="C87" s="31" t="s">
        <v>205</v>
      </c>
      <c r="D87" s="31" t="s">
        <v>43</v>
      </c>
      <c r="E87" s="100" t="s">
        <v>0</v>
      </c>
      <c r="F87" s="90">
        <v>0</v>
      </c>
      <c r="G87" s="90">
        <v>0</v>
      </c>
      <c r="H87" s="90">
        <v>0</v>
      </c>
      <c r="I87" s="90">
        <v>0</v>
      </c>
      <c r="J87" s="31" t="s">
        <v>0</v>
      </c>
      <c r="K87" s="104">
        <f>SUM(K88:K88)</f>
        <v>0</v>
      </c>
    </row>
    <row r="88" spans="1:11" ht="14.25">
      <c r="A88" s="30" t="s">
        <v>0</v>
      </c>
      <c r="B88" s="31" t="s">
        <v>0</v>
      </c>
      <c r="C88" s="31" t="s">
        <v>206</v>
      </c>
      <c r="D88" s="31" t="s">
        <v>0</v>
      </c>
      <c r="E88" s="100" t="s">
        <v>0</v>
      </c>
      <c r="F88" s="90">
        <v>0</v>
      </c>
      <c r="G88" s="90">
        <v>0</v>
      </c>
      <c r="H88" s="90">
        <v>0</v>
      </c>
      <c r="I88" s="90">
        <v>0</v>
      </c>
      <c r="J88" s="31" t="s">
        <v>0</v>
      </c>
      <c r="K88" s="105">
        <v>0</v>
      </c>
    </row>
    <row r="89" spans="1:11" ht="14.25">
      <c r="A89" s="30" t="s">
        <v>211</v>
      </c>
      <c r="B89" s="31" t="s">
        <v>212</v>
      </c>
      <c r="C89" s="31" t="s">
        <v>213</v>
      </c>
      <c r="D89" s="31" t="s">
        <v>5</v>
      </c>
      <c r="E89" s="100" t="s">
        <v>0</v>
      </c>
      <c r="F89" s="90">
        <v>0</v>
      </c>
      <c r="G89" s="90">
        <v>0</v>
      </c>
      <c r="H89" s="90">
        <v>0</v>
      </c>
      <c r="I89" s="90">
        <v>0</v>
      </c>
      <c r="J89" s="31" t="s">
        <v>0</v>
      </c>
      <c r="K89" s="104">
        <f>SUM(K90:K90)</f>
        <v>0</v>
      </c>
    </row>
    <row r="90" spans="1:11" ht="14.25">
      <c r="A90" s="30" t="s">
        <v>0</v>
      </c>
      <c r="B90" s="31" t="s">
        <v>0</v>
      </c>
      <c r="C90" s="31" t="s">
        <v>214</v>
      </c>
      <c r="D90" s="31" t="s">
        <v>0</v>
      </c>
      <c r="E90" s="100" t="s">
        <v>0</v>
      </c>
      <c r="F90" s="90">
        <v>0</v>
      </c>
      <c r="G90" s="90">
        <v>0</v>
      </c>
      <c r="H90" s="90">
        <v>0</v>
      </c>
      <c r="I90" s="90">
        <v>0</v>
      </c>
      <c r="J90" s="31" t="s">
        <v>0</v>
      </c>
      <c r="K90" s="105">
        <v>0</v>
      </c>
    </row>
    <row r="91" spans="1:11" ht="14.25">
      <c r="A91" s="30" t="s">
        <v>215</v>
      </c>
      <c r="B91" s="31" t="s">
        <v>187</v>
      </c>
      <c r="C91" s="31" t="s">
        <v>188</v>
      </c>
      <c r="D91" s="31" t="s">
        <v>43</v>
      </c>
      <c r="E91" s="100" t="s">
        <v>0</v>
      </c>
      <c r="F91" s="90">
        <v>0</v>
      </c>
      <c r="G91" s="90">
        <v>0</v>
      </c>
      <c r="H91" s="90">
        <v>0</v>
      </c>
      <c r="I91" s="90">
        <v>0</v>
      </c>
      <c r="J91" s="31" t="s">
        <v>0</v>
      </c>
      <c r="K91" s="104">
        <f>SUM(K92:K92)</f>
        <v>0</v>
      </c>
    </row>
    <row r="92" spans="1:11" ht="14.25">
      <c r="A92" s="30" t="s">
        <v>0</v>
      </c>
      <c r="B92" s="31" t="s">
        <v>0</v>
      </c>
      <c r="C92" s="31" t="s">
        <v>287</v>
      </c>
      <c r="D92" s="31" t="s">
        <v>0</v>
      </c>
      <c r="E92" s="100" t="s">
        <v>0</v>
      </c>
      <c r="F92" s="90">
        <v>0</v>
      </c>
      <c r="G92" s="90">
        <v>0</v>
      </c>
      <c r="H92" s="90">
        <v>0</v>
      </c>
      <c r="I92" s="90">
        <v>0</v>
      </c>
      <c r="J92" s="31" t="s">
        <v>0</v>
      </c>
      <c r="K92" s="105">
        <v>0</v>
      </c>
    </row>
    <row r="93" spans="1:11" ht="14.25">
      <c r="A93" s="30" t="s">
        <v>216</v>
      </c>
      <c r="B93" s="31" t="s">
        <v>217</v>
      </c>
      <c r="C93" s="31" t="s">
        <v>218</v>
      </c>
      <c r="D93" s="31" t="s">
        <v>43</v>
      </c>
      <c r="E93" s="100" t="s">
        <v>0</v>
      </c>
      <c r="F93" s="90">
        <v>0</v>
      </c>
      <c r="G93" s="90">
        <v>0</v>
      </c>
      <c r="H93" s="90">
        <v>0</v>
      </c>
      <c r="I93" s="90">
        <v>0</v>
      </c>
      <c r="J93" s="31" t="s">
        <v>0</v>
      </c>
      <c r="K93" s="104">
        <f>SUM(K94:K109)</f>
        <v>0</v>
      </c>
    </row>
    <row r="94" spans="1:11" ht="14.25">
      <c r="A94" s="30" t="s">
        <v>0</v>
      </c>
      <c r="B94" s="31" t="s">
        <v>0</v>
      </c>
      <c r="C94" s="31" t="s">
        <v>0</v>
      </c>
      <c r="D94" s="31" t="s">
        <v>0</v>
      </c>
      <c r="E94" s="100" t="s">
        <v>0</v>
      </c>
      <c r="F94" s="90">
        <v>0</v>
      </c>
      <c r="G94" s="90">
        <v>0</v>
      </c>
      <c r="H94" s="90">
        <v>0</v>
      </c>
      <c r="I94" s="90">
        <v>0</v>
      </c>
      <c r="J94" s="31" t="s">
        <v>0</v>
      </c>
      <c r="K94" s="105">
        <v>0</v>
      </c>
    </row>
    <row r="95" spans="1:11" ht="14.25">
      <c r="A95" s="30" t="s">
        <v>0</v>
      </c>
      <c r="B95" s="31" t="s">
        <v>0</v>
      </c>
      <c r="C95" s="31" t="s">
        <v>0</v>
      </c>
      <c r="D95" s="31" t="s">
        <v>0</v>
      </c>
      <c r="E95" s="100" t="s">
        <v>0</v>
      </c>
      <c r="F95" s="90">
        <v>0</v>
      </c>
      <c r="G95" s="90">
        <v>0</v>
      </c>
      <c r="H95" s="90">
        <v>0</v>
      </c>
      <c r="I95" s="90">
        <v>0</v>
      </c>
      <c r="J95" s="31" t="s">
        <v>0</v>
      </c>
      <c r="K95" s="105">
        <v>0</v>
      </c>
    </row>
    <row r="96" spans="1:11" ht="14.25">
      <c r="A96" s="30" t="s">
        <v>0</v>
      </c>
      <c r="B96" s="31" t="s">
        <v>0</v>
      </c>
      <c r="C96" s="31" t="s">
        <v>0</v>
      </c>
      <c r="D96" s="31" t="s">
        <v>0</v>
      </c>
      <c r="E96" s="100" t="s">
        <v>0</v>
      </c>
      <c r="F96" s="90">
        <v>0</v>
      </c>
      <c r="G96" s="90">
        <v>0</v>
      </c>
      <c r="H96" s="90">
        <v>0</v>
      </c>
      <c r="I96" s="90">
        <v>0</v>
      </c>
      <c r="J96" s="31" t="s">
        <v>0</v>
      </c>
      <c r="K96" s="105">
        <v>0</v>
      </c>
    </row>
    <row r="97" spans="1:11" ht="14.25">
      <c r="A97" s="30" t="s">
        <v>0</v>
      </c>
      <c r="B97" s="31" t="s">
        <v>0</v>
      </c>
      <c r="C97" s="31" t="s">
        <v>0</v>
      </c>
      <c r="D97" s="31" t="s">
        <v>0</v>
      </c>
      <c r="E97" s="100" t="s">
        <v>0</v>
      </c>
      <c r="F97" s="90">
        <v>0</v>
      </c>
      <c r="G97" s="90">
        <v>0</v>
      </c>
      <c r="H97" s="90">
        <v>0</v>
      </c>
      <c r="I97" s="90">
        <v>0</v>
      </c>
      <c r="J97" s="31" t="s">
        <v>0</v>
      </c>
      <c r="K97" s="105">
        <v>0</v>
      </c>
    </row>
    <row r="98" spans="1:11" ht="14.25">
      <c r="A98" s="30" t="s">
        <v>0</v>
      </c>
      <c r="B98" s="31" t="s">
        <v>0</v>
      </c>
      <c r="C98" s="31" t="s">
        <v>0</v>
      </c>
      <c r="D98" s="31" t="s">
        <v>0</v>
      </c>
      <c r="E98" s="100" t="s">
        <v>0</v>
      </c>
      <c r="F98" s="90">
        <v>0</v>
      </c>
      <c r="G98" s="90">
        <v>0</v>
      </c>
      <c r="H98" s="90">
        <v>0</v>
      </c>
      <c r="I98" s="90">
        <v>0</v>
      </c>
      <c r="J98" s="31" t="s">
        <v>0</v>
      </c>
      <c r="K98" s="105">
        <v>0</v>
      </c>
    </row>
    <row r="99" spans="1:11" ht="14.25">
      <c r="A99" s="30" t="s">
        <v>0</v>
      </c>
      <c r="B99" s="31" t="s">
        <v>0</v>
      </c>
      <c r="C99" s="31" t="s">
        <v>0</v>
      </c>
      <c r="D99" s="31" t="s">
        <v>0</v>
      </c>
      <c r="E99" s="100" t="s">
        <v>0</v>
      </c>
      <c r="F99" s="90">
        <v>0</v>
      </c>
      <c r="G99" s="90">
        <v>0</v>
      </c>
      <c r="H99" s="90">
        <v>0</v>
      </c>
      <c r="I99" s="90">
        <v>0</v>
      </c>
      <c r="J99" s="31" t="s">
        <v>0</v>
      </c>
      <c r="K99" s="105">
        <v>0</v>
      </c>
    </row>
    <row r="100" spans="1:11" ht="14.25">
      <c r="A100" s="30" t="s">
        <v>0</v>
      </c>
      <c r="B100" s="31" t="s">
        <v>0</v>
      </c>
      <c r="C100" s="31" t="s">
        <v>0</v>
      </c>
      <c r="D100" s="31" t="s">
        <v>0</v>
      </c>
      <c r="E100" s="100" t="s">
        <v>0</v>
      </c>
      <c r="F100" s="90">
        <v>0</v>
      </c>
      <c r="G100" s="90">
        <v>0</v>
      </c>
      <c r="H100" s="90">
        <v>0</v>
      </c>
      <c r="I100" s="90">
        <v>0</v>
      </c>
      <c r="J100" s="31" t="s">
        <v>0</v>
      </c>
      <c r="K100" s="105">
        <v>0</v>
      </c>
    </row>
    <row r="101" spans="1:11" ht="14.25">
      <c r="A101" s="30" t="s">
        <v>0</v>
      </c>
      <c r="B101" s="31" t="s">
        <v>0</v>
      </c>
      <c r="C101" s="31" t="s">
        <v>0</v>
      </c>
      <c r="D101" s="31" t="s">
        <v>0</v>
      </c>
      <c r="E101" s="100" t="s">
        <v>0</v>
      </c>
      <c r="F101" s="90">
        <v>0</v>
      </c>
      <c r="G101" s="90">
        <v>0</v>
      </c>
      <c r="H101" s="90">
        <v>0</v>
      </c>
      <c r="I101" s="90">
        <v>0</v>
      </c>
      <c r="J101" s="31" t="s">
        <v>0</v>
      </c>
      <c r="K101" s="105">
        <v>0</v>
      </c>
    </row>
    <row r="102" spans="1:11" ht="14.25">
      <c r="A102" s="30" t="s">
        <v>0</v>
      </c>
      <c r="B102" s="31" t="s">
        <v>0</v>
      </c>
      <c r="C102" s="31" t="s">
        <v>0</v>
      </c>
      <c r="D102" s="31" t="s">
        <v>0</v>
      </c>
      <c r="E102" s="100" t="s">
        <v>0</v>
      </c>
      <c r="F102" s="90">
        <v>0</v>
      </c>
      <c r="G102" s="90">
        <v>0</v>
      </c>
      <c r="H102" s="90">
        <v>0</v>
      </c>
      <c r="I102" s="90">
        <v>0</v>
      </c>
      <c r="J102" s="31" t="s">
        <v>0</v>
      </c>
      <c r="K102" s="105">
        <v>0</v>
      </c>
    </row>
    <row r="103" spans="1:11" ht="14.25">
      <c r="A103" s="30" t="s">
        <v>0</v>
      </c>
      <c r="B103" s="31" t="s">
        <v>0</v>
      </c>
      <c r="C103" s="31" t="s">
        <v>0</v>
      </c>
      <c r="D103" s="31" t="s">
        <v>0</v>
      </c>
      <c r="E103" s="100" t="s">
        <v>0</v>
      </c>
      <c r="F103" s="90">
        <v>0</v>
      </c>
      <c r="G103" s="90">
        <v>0</v>
      </c>
      <c r="H103" s="90">
        <v>0</v>
      </c>
      <c r="I103" s="90">
        <v>0</v>
      </c>
      <c r="J103" s="31" t="s">
        <v>0</v>
      </c>
      <c r="K103" s="105">
        <v>0</v>
      </c>
    </row>
    <row r="104" spans="1:11" ht="14.25">
      <c r="A104" s="30" t="s">
        <v>0</v>
      </c>
      <c r="B104" s="31" t="s">
        <v>0</v>
      </c>
      <c r="C104" s="31" t="s">
        <v>0</v>
      </c>
      <c r="D104" s="31" t="s">
        <v>0</v>
      </c>
      <c r="E104" s="100" t="s">
        <v>0</v>
      </c>
      <c r="F104" s="90">
        <v>0</v>
      </c>
      <c r="G104" s="90">
        <v>0</v>
      </c>
      <c r="H104" s="90">
        <v>0</v>
      </c>
      <c r="I104" s="90">
        <v>0</v>
      </c>
      <c r="J104" s="31" t="s">
        <v>0</v>
      </c>
      <c r="K104" s="105">
        <v>0</v>
      </c>
    </row>
    <row r="105" spans="1:11" ht="14.25">
      <c r="A105" s="30" t="s">
        <v>0</v>
      </c>
      <c r="B105" s="31" t="s">
        <v>0</v>
      </c>
      <c r="C105" s="31" t="s">
        <v>0</v>
      </c>
      <c r="D105" s="31" t="s">
        <v>0</v>
      </c>
      <c r="E105" s="100" t="s">
        <v>0</v>
      </c>
      <c r="F105" s="90">
        <v>0</v>
      </c>
      <c r="G105" s="90">
        <v>0</v>
      </c>
      <c r="H105" s="90">
        <v>0</v>
      </c>
      <c r="I105" s="90">
        <v>0</v>
      </c>
      <c r="J105" s="31" t="s">
        <v>0</v>
      </c>
      <c r="K105" s="105">
        <v>0</v>
      </c>
    </row>
    <row r="106" spans="1:11" ht="14.25">
      <c r="A106" s="30" t="s">
        <v>0</v>
      </c>
      <c r="B106" s="31" t="s">
        <v>0</v>
      </c>
      <c r="C106" s="31" t="s">
        <v>0</v>
      </c>
      <c r="D106" s="31" t="s">
        <v>0</v>
      </c>
      <c r="E106" s="100" t="s">
        <v>0</v>
      </c>
      <c r="F106" s="90">
        <v>0</v>
      </c>
      <c r="G106" s="90">
        <v>0</v>
      </c>
      <c r="H106" s="90">
        <v>0</v>
      </c>
      <c r="I106" s="90">
        <v>0</v>
      </c>
      <c r="J106" s="31" t="s">
        <v>0</v>
      </c>
      <c r="K106" s="105">
        <v>0</v>
      </c>
    </row>
    <row r="107" spans="1:11" ht="14.25">
      <c r="A107" s="30" t="s">
        <v>0</v>
      </c>
      <c r="B107" s="31" t="s">
        <v>0</v>
      </c>
      <c r="C107" s="31" t="s">
        <v>0</v>
      </c>
      <c r="D107" s="31" t="s">
        <v>0</v>
      </c>
      <c r="E107" s="100" t="s">
        <v>0</v>
      </c>
      <c r="F107" s="90">
        <v>0</v>
      </c>
      <c r="G107" s="90">
        <v>0</v>
      </c>
      <c r="H107" s="90">
        <v>0</v>
      </c>
      <c r="I107" s="90">
        <v>0</v>
      </c>
      <c r="J107" s="31" t="s">
        <v>0</v>
      </c>
      <c r="K107" s="105">
        <v>0</v>
      </c>
    </row>
    <row r="108" spans="1:11" ht="14.25">
      <c r="A108" s="30" t="s">
        <v>0</v>
      </c>
      <c r="B108" s="31" t="s">
        <v>0</v>
      </c>
      <c r="C108" s="31" t="s">
        <v>0</v>
      </c>
      <c r="D108" s="31" t="s">
        <v>0</v>
      </c>
      <c r="E108" s="100" t="s">
        <v>0</v>
      </c>
      <c r="F108" s="90">
        <v>0</v>
      </c>
      <c r="G108" s="90">
        <v>0</v>
      </c>
      <c r="H108" s="90">
        <v>0</v>
      </c>
      <c r="I108" s="90">
        <v>0</v>
      </c>
      <c r="J108" s="31" t="s">
        <v>0</v>
      </c>
      <c r="K108" s="105">
        <v>0</v>
      </c>
    </row>
    <row r="109" spans="1:11" ht="15" thickBot="1">
      <c r="A109" s="34" t="s">
        <v>0</v>
      </c>
      <c r="B109" s="35" t="s">
        <v>0</v>
      </c>
      <c r="C109" s="35" t="s">
        <v>0</v>
      </c>
      <c r="D109" s="35" t="s">
        <v>0</v>
      </c>
      <c r="E109" s="102" t="s">
        <v>0</v>
      </c>
      <c r="F109" s="91">
        <v>0</v>
      </c>
      <c r="G109" s="91">
        <v>0</v>
      </c>
      <c r="H109" s="91">
        <v>0</v>
      </c>
      <c r="I109" s="91">
        <v>0</v>
      </c>
      <c r="J109" s="35" t="s">
        <v>0</v>
      </c>
      <c r="K109" s="106">
        <v>0</v>
      </c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11" customWidth="1"/>
    <col min="5" max="5" width="12.5" style="111" customWidth="1"/>
    <col min="6" max="6" width="15.59765625" style="111" customWidth="1"/>
    <col min="7" max="16384" width="9" style="6" customWidth="1"/>
  </cols>
  <sheetData>
    <row r="1" spans="1:6" ht="21">
      <c r="A1" s="423" t="s">
        <v>450</v>
      </c>
      <c r="B1" s="423"/>
      <c r="C1" s="423"/>
      <c r="D1" s="423"/>
      <c r="E1" s="423"/>
      <c r="F1" s="423"/>
    </row>
    <row r="2" spans="1:6" ht="15.75">
      <c r="A2" s="1"/>
      <c r="B2" s="1"/>
      <c r="C2" s="1"/>
      <c r="D2" s="2"/>
      <c r="E2" s="2"/>
      <c r="F2" s="2"/>
    </row>
    <row r="3" spans="1:6" s="26" customFormat="1" ht="16.5">
      <c r="A3" s="422" t="s">
        <v>386</v>
      </c>
      <c r="B3" s="422"/>
      <c r="C3" s="422"/>
      <c r="D3" s="422"/>
      <c r="E3" s="422"/>
      <c r="F3" s="422"/>
    </row>
    <row r="4" spans="1:6" s="26" customFormat="1" ht="16.5">
      <c r="A4" s="422" t="s">
        <v>387</v>
      </c>
      <c r="B4" s="422"/>
      <c r="C4" s="422"/>
      <c r="D4" s="422"/>
      <c r="E4" s="422"/>
      <c r="F4" s="422"/>
    </row>
    <row r="5" spans="1:6" s="26" customFormat="1" ht="16.5">
      <c r="A5" s="422" t="s">
        <v>388</v>
      </c>
      <c r="B5" s="422"/>
      <c r="C5" s="422"/>
      <c r="D5" s="422"/>
      <c r="E5" s="422"/>
      <c r="F5" s="422"/>
    </row>
    <row r="6" spans="1:6" ht="16.5" thickBot="1">
      <c r="A6" s="1"/>
      <c r="B6" s="1"/>
      <c r="C6" s="1"/>
      <c r="D6" s="2"/>
      <c r="E6" s="2"/>
      <c r="F6" s="2"/>
    </row>
    <row r="7" spans="1:6" ht="45" customHeight="1">
      <c r="A7" s="23" t="s">
        <v>262</v>
      </c>
      <c r="B7" s="24" t="s">
        <v>451</v>
      </c>
      <c r="C7" s="25" t="s">
        <v>407</v>
      </c>
      <c r="D7" s="120" t="s">
        <v>452</v>
      </c>
      <c r="E7" s="120" t="s">
        <v>396</v>
      </c>
      <c r="F7" s="121" t="s">
        <v>394</v>
      </c>
    </row>
    <row r="8" spans="1:6" ht="15.75">
      <c r="A8" s="16" t="s">
        <v>0</v>
      </c>
      <c r="B8" s="17" t="s">
        <v>1</v>
      </c>
      <c r="C8" s="17" t="s">
        <v>0</v>
      </c>
      <c r="D8" s="118">
        <f>SUMIF('Phan tich KL VL,NC,M'!C$8:C$170,B8,'Phan tich KL VL,NC,M'!G$8:G$170)</f>
        <v>0</v>
      </c>
      <c r="E8" s="118">
        <v>0</v>
      </c>
      <c r="F8" s="119"/>
    </row>
    <row r="9" spans="1:6" ht="15">
      <c r="A9" s="10" t="s">
        <v>0</v>
      </c>
      <c r="B9" s="11" t="s">
        <v>0</v>
      </c>
      <c r="C9" s="11" t="s">
        <v>0</v>
      </c>
      <c r="D9" s="114">
        <f>SUMIF('Phan tich KL VL,NC,M'!C$8:C$170,B9,'Phan tich KL VL,NC,M'!G$8:G$170)</f>
        <v>0</v>
      </c>
      <c r="E9" s="114">
        <v>0</v>
      </c>
      <c r="F9" s="115"/>
    </row>
    <row r="10" spans="1:6" ht="15.75">
      <c r="A10" s="8" t="s">
        <v>0</v>
      </c>
      <c r="B10" s="9" t="s">
        <v>383</v>
      </c>
      <c r="C10" s="9" t="s">
        <v>0</v>
      </c>
      <c r="D10" s="112">
        <f>SUMIF('Phan tich KL VL,NC,M'!C$8:C$170,B10,'Phan tich KL VL,NC,M'!G$8:G$170)</f>
        <v>0</v>
      </c>
      <c r="E10" s="112">
        <v>0</v>
      </c>
      <c r="F10" s="113">
        <f>SUM(F11:F14)</f>
        <v>0</v>
      </c>
    </row>
    <row r="11" spans="1:6" ht="15">
      <c r="A11" s="10" t="s">
        <v>0</v>
      </c>
      <c r="B11" s="11" t="s">
        <v>0</v>
      </c>
      <c r="C11" s="11" t="s">
        <v>0</v>
      </c>
      <c r="D11" s="114">
        <f>SUMIF('Phan tich KL VL,NC,M'!C$8:C$170,B11,'Phan tich KL VL,NC,M'!G$8:G$170)</f>
        <v>0</v>
      </c>
      <c r="E11" s="114">
        <v>0</v>
      </c>
      <c r="F11" s="115"/>
    </row>
    <row r="12" spans="1:6" ht="15">
      <c r="A12" s="10" t="s">
        <v>0</v>
      </c>
      <c r="B12" s="11" t="s">
        <v>0</v>
      </c>
      <c r="C12" s="11" t="s">
        <v>0</v>
      </c>
      <c r="D12" s="114">
        <f>SUMIF('Phan tich KL VL,NC,M'!C$8:C$170,B12,'Phan tich KL VL,NC,M'!G$8:G$170)</f>
        <v>0</v>
      </c>
      <c r="E12" s="114">
        <v>0</v>
      </c>
      <c r="F12" s="115"/>
    </row>
    <row r="13" spans="1:6" ht="15.75">
      <c r="A13" s="8" t="s">
        <v>0</v>
      </c>
      <c r="B13" s="9" t="s">
        <v>117</v>
      </c>
      <c r="C13" s="9" t="s">
        <v>0</v>
      </c>
      <c r="D13" s="112">
        <f>SUMIF('Phan tich KL VL,NC,M'!C$170:C$304,B13,'Phan tich KL VL,NC,M'!G$170:G$304)</f>
        <v>0</v>
      </c>
      <c r="E13" s="112">
        <v>0</v>
      </c>
      <c r="F13" s="113"/>
    </row>
    <row r="14" spans="1:6" ht="15">
      <c r="A14" s="10" t="s">
        <v>0</v>
      </c>
      <c r="B14" s="11" t="s">
        <v>0</v>
      </c>
      <c r="C14" s="11" t="s">
        <v>0</v>
      </c>
      <c r="D14" s="114">
        <f>SUMIF('Phan tich KL VL,NC,M'!C$170:C$304,B14,'Phan tich KL VL,NC,M'!G$170:G$304)</f>
        <v>0</v>
      </c>
      <c r="E14" s="114">
        <v>0</v>
      </c>
      <c r="F14" s="115"/>
    </row>
    <row r="15" spans="1:6" ht="15.75">
      <c r="A15" s="8" t="s">
        <v>0</v>
      </c>
      <c r="B15" s="9" t="s">
        <v>383</v>
      </c>
      <c r="C15" s="9" t="s">
        <v>0</v>
      </c>
      <c r="D15" s="112">
        <f>SUMIF('Phan tich KL VL,NC,M'!C$170:C$304,B15,'Phan tich KL VL,NC,M'!G$170:G$304)</f>
        <v>0</v>
      </c>
      <c r="E15" s="112">
        <v>0</v>
      </c>
      <c r="F15" s="113">
        <f>SUM(F16:F16)</f>
        <v>0</v>
      </c>
    </row>
    <row r="16" spans="1:6" ht="15.75" thickBot="1">
      <c r="A16" s="12" t="s">
        <v>0</v>
      </c>
      <c r="B16" s="13" t="s">
        <v>0</v>
      </c>
      <c r="C16" s="13" t="s">
        <v>0</v>
      </c>
      <c r="D16" s="116">
        <f>SUMIF('Phan tich KL VL,NC,M'!C$170:C$304,B16,'Phan tich KL VL,NC,M'!G$170:G$304)</f>
        <v>0</v>
      </c>
      <c r="E16" s="116">
        <v>0</v>
      </c>
      <c r="F16" s="117"/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5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8984375" style="6" customWidth="1"/>
    <col min="2" max="2" width="9.8984375" style="6" customWidth="1"/>
    <col min="3" max="3" width="29.69921875" style="6" customWidth="1"/>
    <col min="4" max="4" width="5.09765625" style="6" customWidth="1"/>
    <col min="5" max="6" width="10.69921875" style="122" customWidth="1"/>
    <col min="7" max="7" width="13.5" style="122" customWidth="1"/>
    <col min="8" max="16384" width="9" style="6" customWidth="1"/>
  </cols>
  <sheetData>
    <row r="1" spans="1:7" ht="21">
      <c r="A1" s="423" t="s">
        <v>453</v>
      </c>
      <c r="B1" s="423"/>
      <c r="C1" s="423"/>
      <c r="D1" s="423"/>
      <c r="E1" s="423"/>
      <c r="F1" s="423"/>
      <c r="G1" s="423"/>
    </row>
    <row r="2" spans="1:7" ht="15.75">
      <c r="A2" s="1"/>
      <c r="B2" s="1"/>
      <c r="C2" s="1"/>
      <c r="D2" s="1"/>
      <c r="E2" s="3"/>
      <c r="F2" s="3"/>
      <c r="G2" s="3"/>
    </row>
    <row r="3" spans="1:7" s="26" customFormat="1" ht="16.5">
      <c r="A3" s="422" t="s">
        <v>386</v>
      </c>
      <c r="B3" s="422"/>
      <c r="C3" s="422"/>
      <c r="D3" s="422"/>
      <c r="E3" s="422"/>
      <c r="F3" s="422"/>
      <c r="G3" s="422"/>
    </row>
    <row r="4" spans="1:7" s="26" customFormat="1" ht="16.5">
      <c r="A4" s="422" t="s">
        <v>387</v>
      </c>
      <c r="B4" s="422"/>
      <c r="C4" s="422"/>
      <c r="D4" s="422"/>
      <c r="E4" s="422"/>
      <c r="F4" s="422"/>
      <c r="G4" s="422"/>
    </row>
    <row r="5" spans="1:7" s="26" customFormat="1" ht="16.5">
      <c r="A5" s="422" t="s">
        <v>388</v>
      </c>
      <c r="B5" s="422"/>
      <c r="C5" s="422"/>
      <c r="D5" s="422"/>
      <c r="E5" s="422"/>
      <c r="F5" s="422"/>
      <c r="G5" s="422"/>
    </row>
    <row r="6" spans="1:7" ht="16.5" thickBot="1">
      <c r="A6" s="1"/>
      <c r="B6" s="1"/>
      <c r="C6" s="1"/>
      <c r="D6" s="1"/>
      <c r="E6" s="3"/>
      <c r="F6" s="3"/>
      <c r="G6" s="3"/>
    </row>
    <row r="7" spans="1:7" ht="45" customHeight="1">
      <c r="A7" s="23" t="s">
        <v>262</v>
      </c>
      <c r="B7" s="25" t="s">
        <v>397</v>
      </c>
      <c r="C7" s="24" t="s">
        <v>398</v>
      </c>
      <c r="D7" s="25" t="s">
        <v>407</v>
      </c>
      <c r="E7" s="131" t="s">
        <v>452</v>
      </c>
      <c r="F7" s="131" t="s">
        <v>408</v>
      </c>
      <c r="G7" s="132" t="s">
        <v>449</v>
      </c>
    </row>
    <row r="8" spans="1:7" ht="15.75">
      <c r="A8" s="16" t="s">
        <v>0</v>
      </c>
      <c r="B8" s="17" t="s">
        <v>0</v>
      </c>
      <c r="C8" s="17" t="s">
        <v>1</v>
      </c>
      <c r="D8" s="17" t="s">
        <v>0</v>
      </c>
      <c r="E8" s="129"/>
      <c r="F8" s="129"/>
      <c r="G8" s="130"/>
    </row>
    <row r="9" spans="1:7" ht="15">
      <c r="A9" s="10" t="s">
        <v>0</v>
      </c>
      <c r="B9" s="11" t="s">
        <v>0</v>
      </c>
      <c r="C9" s="11" t="s">
        <v>0</v>
      </c>
      <c r="D9" s="11" t="s">
        <v>0</v>
      </c>
      <c r="E9" s="125"/>
      <c r="F9" s="125"/>
      <c r="G9" s="126"/>
    </row>
    <row r="10" spans="1:7" ht="15">
      <c r="A10" s="10" t="s">
        <v>2</v>
      </c>
      <c r="B10" s="11" t="s">
        <v>3</v>
      </c>
      <c r="C10" s="11" t="s">
        <v>4</v>
      </c>
      <c r="D10" s="11" t="s">
        <v>5</v>
      </c>
      <c r="E10" s="125">
        <f>'Du toan chi tiet'!E9</f>
        <v>314.72</v>
      </c>
      <c r="F10" s="125"/>
      <c r="G10" s="126"/>
    </row>
    <row r="11" spans="1:7" ht="15">
      <c r="A11" s="10" t="s">
        <v>0</v>
      </c>
      <c r="B11" s="11" t="s">
        <v>0</v>
      </c>
      <c r="C11" s="11" t="s">
        <v>6</v>
      </c>
      <c r="D11" s="11" t="s">
        <v>0</v>
      </c>
      <c r="E11" s="125"/>
      <c r="F11" s="125"/>
      <c r="G11" s="126"/>
    </row>
    <row r="12" spans="1:7" ht="15">
      <c r="A12" s="10" t="s">
        <v>0</v>
      </c>
      <c r="B12" s="11" t="s">
        <v>0</v>
      </c>
      <c r="C12" s="11" t="s">
        <v>7</v>
      </c>
      <c r="D12" s="11" t="s">
        <v>8</v>
      </c>
      <c r="E12" s="125"/>
      <c r="F12" s="125">
        <f>0.0461</f>
        <v>0.0461</v>
      </c>
      <c r="G12" s="126">
        <f>E10*F12</f>
        <v>14.508592000000002</v>
      </c>
    </row>
    <row r="13" spans="1:7" ht="15">
      <c r="A13" s="10" t="s">
        <v>0</v>
      </c>
      <c r="B13" s="11" t="s">
        <v>0</v>
      </c>
      <c r="C13" s="11" t="s">
        <v>9</v>
      </c>
      <c r="D13" s="11" t="s">
        <v>10</v>
      </c>
      <c r="E13" s="125"/>
      <c r="F13" s="125">
        <f>0.00897</f>
        <v>0.00897</v>
      </c>
      <c r="G13" s="126">
        <f>E10*F13</f>
        <v>2.8230384000000006</v>
      </c>
    </row>
    <row r="14" spans="1:7" ht="15">
      <c r="A14" s="10" t="s">
        <v>0</v>
      </c>
      <c r="B14" s="11" t="s">
        <v>0</v>
      </c>
      <c r="C14" s="11" t="s">
        <v>0</v>
      </c>
      <c r="D14" s="11" t="s">
        <v>0</v>
      </c>
      <c r="E14" s="125"/>
      <c r="F14" s="125"/>
      <c r="G14" s="126"/>
    </row>
    <row r="15" spans="1:7" ht="15">
      <c r="A15" s="10" t="s">
        <v>11</v>
      </c>
      <c r="B15" s="11" t="s">
        <v>12</v>
      </c>
      <c r="C15" s="11" t="s">
        <v>13</v>
      </c>
      <c r="D15" s="11" t="s">
        <v>5</v>
      </c>
      <c r="E15" s="125">
        <f>'Du toan chi tiet'!E10</f>
        <v>11.45</v>
      </c>
      <c r="F15" s="125"/>
      <c r="G15" s="126"/>
    </row>
    <row r="16" spans="1:7" ht="15">
      <c r="A16" s="10" t="s">
        <v>0</v>
      </c>
      <c r="B16" s="11" t="s">
        <v>0</v>
      </c>
      <c r="C16" s="11" t="s">
        <v>14</v>
      </c>
      <c r="D16" s="11" t="s">
        <v>0</v>
      </c>
      <c r="E16" s="125"/>
      <c r="F16" s="125"/>
      <c r="G16" s="126"/>
    </row>
    <row r="17" spans="1:7" ht="15">
      <c r="A17" s="10" t="s">
        <v>0</v>
      </c>
      <c r="B17" s="11" t="s">
        <v>0</v>
      </c>
      <c r="C17" s="11" t="s">
        <v>7</v>
      </c>
      <c r="D17" s="11" t="s">
        <v>8</v>
      </c>
      <c r="E17" s="125"/>
      <c r="F17" s="125">
        <f>1.24</f>
        <v>1.24</v>
      </c>
      <c r="G17" s="126">
        <f>E10*F17</f>
        <v>390.25280000000004</v>
      </c>
    </row>
    <row r="18" spans="1:7" ht="15">
      <c r="A18" s="10" t="s">
        <v>0</v>
      </c>
      <c r="B18" s="11" t="s">
        <v>0</v>
      </c>
      <c r="C18" s="11" t="s">
        <v>0</v>
      </c>
      <c r="D18" s="11" t="s">
        <v>0</v>
      </c>
      <c r="E18" s="125"/>
      <c r="F18" s="125"/>
      <c r="G18" s="126"/>
    </row>
    <row r="19" spans="1:7" ht="15">
      <c r="A19" s="10" t="s">
        <v>15</v>
      </c>
      <c r="B19" s="11" t="s">
        <v>16</v>
      </c>
      <c r="C19" s="11" t="s">
        <v>17</v>
      </c>
      <c r="D19" s="11" t="s">
        <v>5</v>
      </c>
      <c r="E19" s="125">
        <f>'Du toan chi tiet'!E11</f>
        <v>239.19</v>
      </c>
      <c r="F19" s="125"/>
      <c r="G19" s="126"/>
    </row>
    <row r="20" spans="1:7" ht="15">
      <c r="A20" s="10" t="s">
        <v>0</v>
      </c>
      <c r="B20" s="11" t="s">
        <v>0</v>
      </c>
      <c r="C20" s="11" t="s">
        <v>18</v>
      </c>
      <c r="D20" s="11" t="s">
        <v>0</v>
      </c>
      <c r="E20" s="125"/>
      <c r="F20" s="125"/>
      <c r="G20" s="126"/>
    </row>
    <row r="21" spans="1:7" ht="15">
      <c r="A21" s="10" t="s">
        <v>0</v>
      </c>
      <c r="B21" s="11" t="s">
        <v>0</v>
      </c>
      <c r="C21" s="11" t="s">
        <v>7</v>
      </c>
      <c r="D21" s="11" t="s">
        <v>8</v>
      </c>
      <c r="E21" s="125"/>
      <c r="F21" s="125">
        <f>0.0713</f>
        <v>0.0713</v>
      </c>
      <c r="G21" s="126">
        <f>E10*F21</f>
        <v>22.439536000000004</v>
      </c>
    </row>
    <row r="22" spans="1:7" ht="15">
      <c r="A22" s="10" t="s">
        <v>0</v>
      </c>
      <c r="B22" s="11" t="s">
        <v>0</v>
      </c>
      <c r="C22" s="11" t="s">
        <v>19</v>
      </c>
      <c r="D22" s="11" t="s">
        <v>10</v>
      </c>
      <c r="E22" s="125"/>
      <c r="F22" s="125">
        <f>0.04428</f>
        <v>0.04428</v>
      </c>
      <c r="G22" s="126">
        <f>E10*F22</f>
        <v>13.935801600000001</v>
      </c>
    </row>
    <row r="23" spans="1:7" ht="15">
      <c r="A23" s="10" t="s">
        <v>0</v>
      </c>
      <c r="B23" s="11" t="s">
        <v>0</v>
      </c>
      <c r="C23" s="11" t="s">
        <v>0</v>
      </c>
      <c r="D23" s="11" t="s">
        <v>0</v>
      </c>
      <c r="E23" s="125"/>
      <c r="F23" s="125"/>
      <c r="G23" s="126"/>
    </row>
    <row r="24" spans="1:7" ht="15">
      <c r="A24" s="10" t="s">
        <v>20</v>
      </c>
      <c r="B24" s="11" t="s">
        <v>21</v>
      </c>
      <c r="C24" s="11" t="s">
        <v>22</v>
      </c>
      <c r="D24" s="11" t="s">
        <v>5</v>
      </c>
      <c r="E24" s="125">
        <f>'Du toan chi tiet'!E13</f>
        <v>5.62</v>
      </c>
      <c r="F24" s="125"/>
      <c r="G24" s="126"/>
    </row>
    <row r="25" spans="1:7" ht="15">
      <c r="A25" s="10" t="s">
        <v>0</v>
      </c>
      <c r="B25" s="11" t="s">
        <v>0</v>
      </c>
      <c r="C25" s="11" t="s">
        <v>23</v>
      </c>
      <c r="D25" s="11" t="s">
        <v>0</v>
      </c>
      <c r="E25" s="125"/>
      <c r="F25" s="125"/>
      <c r="G25" s="126"/>
    </row>
    <row r="26" spans="1:7" ht="15">
      <c r="A26" s="10" t="s">
        <v>0</v>
      </c>
      <c r="B26" s="11" t="s">
        <v>0</v>
      </c>
      <c r="C26" s="11" t="s">
        <v>24</v>
      </c>
      <c r="D26" s="11" t="s">
        <v>25</v>
      </c>
      <c r="E26" s="125"/>
      <c r="F26" s="125">
        <f>1.2</f>
        <v>1.2</v>
      </c>
      <c r="G26" s="126">
        <f>E10*F26</f>
        <v>377.66400000000004</v>
      </c>
    </row>
    <row r="27" spans="1:7" ht="15">
      <c r="A27" s="10" t="s">
        <v>0</v>
      </c>
      <c r="B27" s="11" t="s">
        <v>0</v>
      </c>
      <c r="C27" s="11" t="s">
        <v>26</v>
      </c>
      <c r="D27" s="11" t="s">
        <v>25</v>
      </c>
      <c r="E27" s="125"/>
      <c r="F27" s="125">
        <f>0.3</f>
        <v>0.3</v>
      </c>
      <c r="G27" s="126">
        <f>E10*F27</f>
        <v>94.41600000000001</v>
      </c>
    </row>
    <row r="28" spans="1:7" ht="15">
      <c r="A28" s="10" t="s">
        <v>0</v>
      </c>
      <c r="B28" s="11" t="s">
        <v>0</v>
      </c>
      <c r="C28" s="11" t="s">
        <v>27</v>
      </c>
      <c r="D28" s="11" t="s">
        <v>8</v>
      </c>
      <c r="E28" s="125"/>
      <c r="F28" s="125">
        <f>1.48</f>
        <v>1.48</v>
      </c>
      <c r="G28" s="126">
        <f>E10*F28</f>
        <v>465.78560000000004</v>
      </c>
    </row>
    <row r="29" spans="1:7" ht="15">
      <c r="A29" s="10" t="s">
        <v>0</v>
      </c>
      <c r="B29" s="11" t="s">
        <v>0</v>
      </c>
      <c r="C29" s="11" t="s">
        <v>0</v>
      </c>
      <c r="D29" s="11" t="s">
        <v>0</v>
      </c>
      <c r="E29" s="125"/>
      <c r="F29" s="125"/>
      <c r="G29" s="126"/>
    </row>
    <row r="30" spans="1:7" ht="15">
      <c r="A30" s="10" t="s">
        <v>28</v>
      </c>
      <c r="B30" s="11" t="s">
        <v>29</v>
      </c>
      <c r="C30" s="11" t="s">
        <v>30</v>
      </c>
      <c r="D30" s="11" t="s">
        <v>5</v>
      </c>
      <c r="E30" s="125">
        <f>'Du toan chi tiet'!E14</f>
        <v>47.15</v>
      </c>
      <c r="F30" s="125"/>
      <c r="G30" s="126"/>
    </row>
    <row r="31" spans="1:7" ht="15">
      <c r="A31" s="10" t="s">
        <v>0</v>
      </c>
      <c r="B31" s="11" t="s">
        <v>0</v>
      </c>
      <c r="C31" s="11" t="s">
        <v>31</v>
      </c>
      <c r="D31" s="11" t="s">
        <v>0</v>
      </c>
      <c r="E31" s="125"/>
      <c r="F31" s="125"/>
      <c r="G31" s="126"/>
    </row>
    <row r="32" spans="1:7" ht="15">
      <c r="A32" s="10" t="s">
        <v>0</v>
      </c>
      <c r="B32" s="11" t="s">
        <v>0</v>
      </c>
      <c r="C32" s="11" t="s">
        <v>32</v>
      </c>
      <c r="D32" s="11" t="s">
        <v>33</v>
      </c>
      <c r="E32" s="125"/>
      <c r="F32" s="125">
        <f>1.025*244</f>
        <v>250.09999999999997</v>
      </c>
      <c r="G32" s="126">
        <f>E10*F32</f>
        <v>78711.472</v>
      </c>
    </row>
    <row r="33" spans="1:7" ht="15">
      <c r="A33" s="10" t="s">
        <v>0</v>
      </c>
      <c r="B33" s="11" t="s">
        <v>0</v>
      </c>
      <c r="C33" s="11" t="s">
        <v>34</v>
      </c>
      <c r="D33" s="11" t="s">
        <v>25</v>
      </c>
      <c r="E33" s="125"/>
      <c r="F33" s="125">
        <f>1.025*0.54</f>
        <v>0.5535</v>
      </c>
      <c r="G33" s="126">
        <f>E10*F33</f>
        <v>174.19752000000003</v>
      </c>
    </row>
    <row r="34" spans="1:7" ht="15">
      <c r="A34" s="10" t="s">
        <v>0</v>
      </c>
      <c r="B34" s="11" t="s">
        <v>0</v>
      </c>
      <c r="C34" s="11" t="s">
        <v>35</v>
      </c>
      <c r="D34" s="11" t="s">
        <v>25</v>
      </c>
      <c r="E34" s="125"/>
      <c r="F34" s="125">
        <f>1.025*0.876</f>
        <v>0.8978999999999999</v>
      </c>
      <c r="G34" s="126">
        <f>E10*F34</f>
        <v>282.587088</v>
      </c>
    </row>
    <row r="35" spans="1:7" ht="15">
      <c r="A35" s="10" t="s">
        <v>0</v>
      </c>
      <c r="B35" s="11" t="s">
        <v>0</v>
      </c>
      <c r="C35" s="11" t="s">
        <v>36</v>
      </c>
      <c r="D35" s="11" t="s">
        <v>25</v>
      </c>
      <c r="E35" s="125"/>
      <c r="F35" s="125">
        <f>1.025*0.173</f>
        <v>0.17732499999999998</v>
      </c>
      <c r="G35" s="126">
        <f>E10*F35</f>
        <v>55.807724</v>
      </c>
    </row>
    <row r="36" spans="1:7" ht="15">
      <c r="A36" s="10" t="s">
        <v>0</v>
      </c>
      <c r="B36" s="11" t="s">
        <v>0</v>
      </c>
      <c r="C36" s="11" t="s">
        <v>37</v>
      </c>
      <c r="D36" s="11" t="s">
        <v>8</v>
      </c>
      <c r="E36" s="125"/>
      <c r="F36" s="125">
        <f>1.95</f>
        <v>1.95</v>
      </c>
      <c r="G36" s="126">
        <f>E10*F36</f>
        <v>613.7040000000001</v>
      </c>
    </row>
    <row r="37" spans="1:7" ht="15">
      <c r="A37" s="10" t="s">
        <v>0</v>
      </c>
      <c r="B37" s="11" t="s">
        <v>0</v>
      </c>
      <c r="C37" s="11" t="s">
        <v>38</v>
      </c>
      <c r="D37" s="11" t="s">
        <v>10</v>
      </c>
      <c r="E37" s="125"/>
      <c r="F37" s="125">
        <f>0.095</f>
        <v>0.095</v>
      </c>
      <c r="G37" s="126">
        <f>E10*F37</f>
        <v>29.898400000000002</v>
      </c>
    </row>
    <row r="38" spans="1:7" ht="15">
      <c r="A38" s="10" t="s">
        <v>0</v>
      </c>
      <c r="B38" s="11" t="s">
        <v>0</v>
      </c>
      <c r="C38" s="11" t="s">
        <v>39</v>
      </c>
      <c r="D38" s="11" t="s">
        <v>10</v>
      </c>
      <c r="E38" s="125"/>
      <c r="F38" s="125">
        <f>0.089</f>
        <v>0.089</v>
      </c>
      <c r="G38" s="126">
        <f>E10*F38</f>
        <v>28.010080000000002</v>
      </c>
    </row>
    <row r="39" spans="1:7" ht="15">
      <c r="A39" s="10" t="s">
        <v>0</v>
      </c>
      <c r="B39" s="11" t="s">
        <v>0</v>
      </c>
      <c r="C39" s="11" t="s">
        <v>0</v>
      </c>
      <c r="D39" s="11" t="s">
        <v>0</v>
      </c>
      <c r="E39" s="125"/>
      <c r="F39" s="125"/>
      <c r="G39" s="126"/>
    </row>
    <row r="40" spans="1:7" ht="15">
      <c r="A40" s="10" t="s">
        <v>40</v>
      </c>
      <c r="B40" s="11" t="s">
        <v>41</v>
      </c>
      <c r="C40" s="11" t="s">
        <v>42</v>
      </c>
      <c r="D40" s="11" t="s">
        <v>43</v>
      </c>
      <c r="E40" s="125">
        <f>'Du toan chi tiet'!E16</f>
        <v>282.68</v>
      </c>
      <c r="F40" s="125"/>
      <c r="G40" s="126"/>
    </row>
    <row r="41" spans="1:7" ht="15">
      <c r="A41" s="10" t="s">
        <v>0</v>
      </c>
      <c r="B41" s="11" t="s">
        <v>0</v>
      </c>
      <c r="C41" s="11" t="s">
        <v>44</v>
      </c>
      <c r="D41" s="11" t="s">
        <v>33</v>
      </c>
      <c r="E41" s="125"/>
      <c r="F41" s="125">
        <f>0.5181</f>
        <v>0.5181</v>
      </c>
      <c r="G41" s="126">
        <f>E10*F41</f>
        <v>163.05643200000003</v>
      </c>
    </row>
    <row r="42" spans="1:7" ht="15">
      <c r="A42" s="10" t="s">
        <v>0</v>
      </c>
      <c r="B42" s="11" t="s">
        <v>0</v>
      </c>
      <c r="C42" s="11" t="s">
        <v>45</v>
      </c>
      <c r="D42" s="11" t="s">
        <v>33</v>
      </c>
      <c r="E42" s="125"/>
      <c r="F42" s="125">
        <f>0.4884</f>
        <v>0.4884</v>
      </c>
      <c r="G42" s="126">
        <f>E10*F42</f>
        <v>153.709248</v>
      </c>
    </row>
    <row r="43" spans="1:7" ht="15">
      <c r="A43" s="10" t="s">
        <v>0</v>
      </c>
      <c r="B43" s="11" t="s">
        <v>0</v>
      </c>
      <c r="C43" s="11" t="s">
        <v>46</v>
      </c>
      <c r="D43" s="11" t="s">
        <v>33</v>
      </c>
      <c r="E43" s="125"/>
      <c r="F43" s="125">
        <f>0.3813</f>
        <v>0.3813</v>
      </c>
      <c r="G43" s="126">
        <f>E10*F43</f>
        <v>120.002736</v>
      </c>
    </row>
    <row r="44" spans="1:7" ht="15">
      <c r="A44" s="10" t="s">
        <v>0</v>
      </c>
      <c r="B44" s="11" t="s">
        <v>0</v>
      </c>
      <c r="C44" s="11" t="s">
        <v>47</v>
      </c>
      <c r="D44" s="11" t="s">
        <v>33</v>
      </c>
      <c r="E44" s="125"/>
      <c r="F44" s="125">
        <f>0.056</f>
        <v>0.056</v>
      </c>
      <c r="G44" s="126">
        <f>E10*F44</f>
        <v>17.62432</v>
      </c>
    </row>
    <row r="45" spans="1:7" ht="15">
      <c r="A45" s="10" t="s">
        <v>0</v>
      </c>
      <c r="B45" s="11" t="s">
        <v>0</v>
      </c>
      <c r="C45" s="11" t="s">
        <v>27</v>
      </c>
      <c r="D45" s="11" t="s">
        <v>8</v>
      </c>
      <c r="E45" s="125"/>
      <c r="F45" s="125">
        <f>0.285</f>
        <v>0.285</v>
      </c>
      <c r="G45" s="126">
        <f>E10*F45</f>
        <v>89.6952</v>
      </c>
    </row>
    <row r="46" spans="1:7" ht="15">
      <c r="A46" s="10" t="s">
        <v>0</v>
      </c>
      <c r="B46" s="11" t="s">
        <v>0</v>
      </c>
      <c r="C46" s="11" t="s">
        <v>48</v>
      </c>
      <c r="D46" s="11" t="s">
        <v>10</v>
      </c>
      <c r="E46" s="125"/>
      <c r="F46" s="125">
        <f>0.015</f>
        <v>0.015</v>
      </c>
      <c r="G46" s="126">
        <f>E10*F46</f>
        <v>4.7208000000000006</v>
      </c>
    </row>
    <row r="47" spans="1:7" ht="15">
      <c r="A47" s="10" t="s">
        <v>0</v>
      </c>
      <c r="B47" s="11" t="s">
        <v>0</v>
      </c>
      <c r="C47" s="11" t="s">
        <v>49</v>
      </c>
      <c r="D47" s="11" t="s">
        <v>10</v>
      </c>
      <c r="E47" s="125"/>
      <c r="F47" s="125">
        <f>0.0012</f>
        <v>0.0012</v>
      </c>
      <c r="G47" s="126">
        <f>E10*F47</f>
        <v>0.377664</v>
      </c>
    </row>
    <row r="48" spans="1:7" ht="15">
      <c r="A48" s="10" t="s">
        <v>0</v>
      </c>
      <c r="B48" s="11" t="s">
        <v>0</v>
      </c>
      <c r="C48" s="11" t="s">
        <v>50</v>
      </c>
      <c r="D48" s="11" t="s">
        <v>10</v>
      </c>
      <c r="E48" s="125"/>
      <c r="F48" s="125">
        <f>0.0012</f>
        <v>0.0012</v>
      </c>
      <c r="G48" s="126">
        <f>E10*F48</f>
        <v>0.377664</v>
      </c>
    </row>
    <row r="49" spans="1:7" ht="15">
      <c r="A49" s="10" t="s">
        <v>0</v>
      </c>
      <c r="B49" s="11" t="s">
        <v>0</v>
      </c>
      <c r="C49" s="11" t="s">
        <v>0</v>
      </c>
      <c r="D49" s="11" t="s">
        <v>0</v>
      </c>
      <c r="E49" s="125"/>
      <c r="F49" s="125"/>
      <c r="G49" s="126"/>
    </row>
    <row r="50" spans="1:7" ht="15">
      <c r="A50" s="10" t="s">
        <v>51</v>
      </c>
      <c r="B50" s="11" t="s">
        <v>52</v>
      </c>
      <c r="C50" s="11" t="s">
        <v>53</v>
      </c>
      <c r="D50" s="11" t="s">
        <v>5</v>
      </c>
      <c r="E50" s="125">
        <f>'Du toan chi tiet'!E17</f>
        <v>3.33</v>
      </c>
      <c r="F50" s="125"/>
      <c r="G50" s="126"/>
    </row>
    <row r="51" spans="1:7" ht="15">
      <c r="A51" s="10" t="s">
        <v>0</v>
      </c>
      <c r="B51" s="11" t="s">
        <v>0</v>
      </c>
      <c r="C51" s="11" t="s">
        <v>54</v>
      </c>
      <c r="D51" s="11" t="s">
        <v>0</v>
      </c>
      <c r="E51" s="125"/>
      <c r="F51" s="125"/>
      <c r="G51" s="126"/>
    </row>
    <row r="52" spans="1:7" ht="15">
      <c r="A52" s="10" t="s">
        <v>0</v>
      </c>
      <c r="B52" s="11" t="s">
        <v>0</v>
      </c>
      <c r="C52" s="11" t="s">
        <v>32</v>
      </c>
      <c r="D52" s="11" t="s">
        <v>33</v>
      </c>
      <c r="E52" s="125"/>
      <c r="F52" s="125">
        <f>1.025*301</f>
        <v>308.525</v>
      </c>
      <c r="G52" s="126">
        <f>E10*F52</f>
        <v>97098.988</v>
      </c>
    </row>
    <row r="53" spans="1:7" ht="15">
      <c r="A53" s="10" t="s">
        <v>0</v>
      </c>
      <c r="B53" s="11" t="s">
        <v>0</v>
      </c>
      <c r="C53" s="11" t="s">
        <v>34</v>
      </c>
      <c r="D53" s="11" t="s">
        <v>25</v>
      </c>
      <c r="E53" s="125"/>
      <c r="F53" s="125">
        <f>1.025*0.519</f>
        <v>0.531975</v>
      </c>
      <c r="G53" s="126">
        <f>E10*F53</f>
        <v>167.423172</v>
      </c>
    </row>
    <row r="54" spans="1:7" ht="15">
      <c r="A54" s="10" t="s">
        <v>0</v>
      </c>
      <c r="B54" s="11" t="s">
        <v>0</v>
      </c>
      <c r="C54" s="11" t="s">
        <v>55</v>
      </c>
      <c r="D54" s="11" t="s">
        <v>25</v>
      </c>
      <c r="E54" s="125"/>
      <c r="F54" s="125">
        <f>1.025*0.855</f>
        <v>0.8763749999999999</v>
      </c>
      <c r="G54" s="126">
        <f>E10*F54</f>
        <v>275.81274</v>
      </c>
    </row>
    <row r="55" spans="1:7" ht="15">
      <c r="A55" s="10" t="s">
        <v>0</v>
      </c>
      <c r="B55" s="11" t="s">
        <v>0</v>
      </c>
      <c r="C55" s="11" t="s">
        <v>36</v>
      </c>
      <c r="D55" s="11" t="s">
        <v>25</v>
      </c>
      <c r="E55" s="125"/>
      <c r="F55" s="125">
        <f>1.025*0.183</f>
        <v>0.187575</v>
      </c>
      <c r="G55" s="126">
        <f>E10*F55</f>
        <v>59.033604000000004</v>
      </c>
    </row>
    <row r="56" spans="1:7" ht="15">
      <c r="A56" s="10" t="s">
        <v>0</v>
      </c>
      <c r="B56" s="11" t="s">
        <v>0</v>
      </c>
      <c r="C56" s="11" t="s">
        <v>37</v>
      </c>
      <c r="D56" s="11" t="s">
        <v>8</v>
      </c>
      <c r="E56" s="125"/>
      <c r="F56" s="125">
        <f>1.95</f>
        <v>1.95</v>
      </c>
      <c r="G56" s="126">
        <f>E10*F56</f>
        <v>613.7040000000001</v>
      </c>
    </row>
    <row r="57" spans="1:7" ht="15">
      <c r="A57" s="10" t="s">
        <v>0</v>
      </c>
      <c r="B57" s="11" t="s">
        <v>0</v>
      </c>
      <c r="C57" s="11" t="s">
        <v>38</v>
      </c>
      <c r="D57" s="11" t="s">
        <v>10</v>
      </c>
      <c r="E57" s="125"/>
      <c r="F57" s="125">
        <f>0.095</f>
        <v>0.095</v>
      </c>
      <c r="G57" s="126">
        <f>E10*F57</f>
        <v>29.898400000000002</v>
      </c>
    </row>
    <row r="58" spans="1:7" ht="15">
      <c r="A58" s="10" t="s">
        <v>0</v>
      </c>
      <c r="B58" s="11" t="s">
        <v>0</v>
      </c>
      <c r="C58" s="11" t="s">
        <v>39</v>
      </c>
      <c r="D58" s="11" t="s">
        <v>10</v>
      </c>
      <c r="E58" s="125"/>
      <c r="F58" s="125">
        <f>0.089</f>
        <v>0.089</v>
      </c>
      <c r="G58" s="126">
        <f>E10*F58</f>
        <v>28.010080000000002</v>
      </c>
    </row>
    <row r="59" spans="1:7" ht="15">
      <c r="A59" s="10" t="s">
        <v>0</v>
      </c>
      <c r="B59" s="11" t="s">
        <v>0</v>
      </c>
      <c r="C59" s="11" t="s">
        <v>0</v>
      </c>
      <c r="D59" s="11" t="s">
        <v>0</v>
      </c>
      <c r="E59" s="125"/>
      <c r="F59" s="125"/>
      <c r="G59" s="126"/>
    </row>
    <row r="60" spans="1:7" ht="15">
      <c r="A60" s="10" t="s">
        <v>56</v>
      </c>
      <c r="B60" s="11" t="s">
        <v>57</v>
      </c>
      <c r="C60" s="11" t="s">
        <v>58</v>
      </c>
      <c r="D60" s="11" t="s">
        <v>59</v>
      </c>
      <c r="E60" s="125">
        <f>'Du toan chi tiet'!E19</f>
        <v>0.22686</v>
      </c>
      <c r="F60" s="125"/>
      <c r="G60" s="126"/>
    </row>
    <row r="61" spans="1:7" ht="15">
      <c r="A61" s="10" t="s">
        <v>0</v>
      </c>
      <c r="B61" s="11" t="s">
        <v>0</v>
      </c>
      <c r="C61" s="11" t="s">
        <v>60</v>
      </c>
      <c r="D61" s="11" t="s">
        <v>0</v>
      </c>
      <c r="E61" s="125"/>
      <c r="F61" s="125"/>
      <c r="G61" s="126"/>
    </row>
    <row r="62" spans="1:7" ht="15">
      <c r="A62" s="10" t="s">
        <v>0</v>
      </c>
      <c r="B62" s="11" t="s">
        <v>0</v>
      </c>
      <c r="C62" s="11" t="s">
        <v>61</v>
      </c>
      <c r="D62" s="11" t="s">
        <v>33</v>
      </c>
      <c r="E62" s="125"/>
      <c r="F62" s="125">
        <f>1005</f>
        <v>1005</v>
      </c>
      <c r="G62" s="126">
        <f>E10*F62</f>
        <v>316293.60000000003</v>
      </c>
    </row>
    <row r="63" spans="1:7" ht="15">
      <c r="A63" s="10" t="s">
        <v>0</v>
      </c>
      <c r="B63" s="11" t="s">
        <v>0</v>
      </c>
      <c r="C63" s="11" t="s">
        <v>62</v>
      </c>
      <c r="D63" s="11" t="s">
        <v>33</v>
      </c>
      <c r="E63" s="125"/>
      <c r="F63" s="125">
        <f>16.07</f>
        <v>16.07</v>
      </c>
      <c r="G63" s="126">
        <f>E10*F63</f>
        <v>5057.5504</v>
      </c>
    </row>
    <row r="64" spans="1:7" ht="15">
      <c r="A64" s="10" t="s">
        <v>0</v>
      </c>
      <c r="B64" s="11" t="s">
        <v>0</v>
      </c>
      <c r="C64" s="11" t="s">
        <v>37</v>
      </c>
      <c r="D64" s="11" t="s">
        <v>8</v>
      </c>
      <c r="E64" s="125"/>
      <c r="F64" s="125">
        <f>15.39</f>
        <v>15.39</v>
      </c>
      <c r="G64" s="126">
        <f>E10*F64</f>
        <v>4843.540800000001</v>
      </c>
    </row>
    <row r="65" spans="1:7" ht="15">
      <c r="A65" s="10" t="s">
        <v>0</v>
      </c>
      <c r="B65" s="11" t="s">
        <v>0</v>
      </c>
      <c r="C65" s="11" t="s">
        <v>63</v>
      </c>
      <c r="D65" s="11" t="s">
        <v>10</v>
      </c>
      <c r="E65" s="125"/>
      <c r="F65" s="125">
        <f>0.4</f>
        <v>0.4</v>
      </c>
      <c r="G65" s="126">
        <f>E10*F65</f>
        <v>125.88800000000002</v>
      </c>
    </row>
    <row r="66" spans="1:7" ht="15">
      <c r="A66" s="10" t="s">
        <v>0</v>
      </c>
      <c r="B66" s="11" t="s">
        <v>0</v>
      </c>
      <c r="C66" s="11" t="s">
        <v>0</v>
      </c>
      <c r="D66" s="11" t="s">
        <v>0</v>
      </c>
      <c r="E66" s="125"/>
      <c r="F66" s="125"/>
      <c r="G66" s="126"/>
    </row>
    <row r="67" spans="1:7" ht="15">
      <c r="A67" s="10" t="s">
        <v>64</v>
      </c>
      <c r="B67" s="11" t="s">
        <v>41</v>
      </c>
      <c r="C67" s="11" t="s">
        <v>65</v>
      </c>
      <c r="D67" s="11" t="s">
        <v>43</v>
      </c>
      <c r="E67" s="125">
        <f>'Du toan chi tiet'!E21</f>
        <v>32.7</v>
      </c>
      <c r="F67" s="125"/>
      <c r="G67" s="126"/>
    </row>
    <row r="68" spans="1:7" ht="15">
      <c r="A68" s="10" t="s">
        <v>0</v>
      </c>
      <c r="B68" s="11" t="s">
        <v>0</v>
      </c>
      <c r="C68" s="11" t="s">
        <v>44</v>
      </c>
      <c r="D68" s="11" t="s">
        <v>33</v>
      </c>
      <c r="E68" s="125"/>
      <c r="F68" s="125">
        <f>0.5181</f>
        <v>0.5181</v>
      </c>
      <c r="G68" s="126">
        <f>E10*F68</f>
        <v>163.05643200000003</v>
      </c>
    </row>
    <row r="69" spans="1:7" ht="15">
      <c r="A69" s="10" t="s">
        <v>0</v>
      </c>
      <c r="B69" s="11" t="s">
        <v>0</v>
      </c>
      <c r="C69" s="11" t="s">
        <v>45</v>
      </c>
      <c r="D69" s="11" t="s">
        <v>33</v>
      </c>
      <c r="E69" s="125"/>
      <c r="F69" s="125">
        <f>0.4884</f>
        <v>0.4884</v>
      </c>
      <c r="G69" s="126">
        <f>E10*F69</f>
        <v>153.709248</v>
      </c>
    </row>
    <row r="70" spans="1:7" ht="15">
      <c r="A70" s="10" t="s">
        <v>0</v>
      </c>
      <c r="B70" s="11" t="s">
        <v>0</v>
      </c>
      <c r="C70" s="11" t="s">
        <v>46</v>
      </c>
      <c r="D70" s="11" t="s">
        <v>33</v>
      </c>
      <c r="E70" s="125"/>
      <c r="F70" s="125">
        <f>0.3813</f>
        <v>0.3813</v>
      </c>
      <c r="G70" s="126">
        <f>E10*F70</f>
        <v>120.002736</v>
      </c>
    </row>
    <row r="71" spans="1:7" ht="15">
      <c r="A71" s="10" t="s">
        <v>0</v>
      </c>
      <c r="B71" s="11" t="s">
        <v>0</v>
      </c>
      <c r="C71" s="11" t="s">
        <v>47</v>
      </c>
      <c r="D71" s="11" t="s">
        <v>33</v>
      </c>
      <c r="E71" s="125"/>
      <c r="F71" s="125">
        <f>0.056</f>
        <v>0.056</v>
      </c>
      <c r="G71" s="126">
        <f>E10*F71</f>
        <v>17.62432</v>
      </c>
    </row>
    <row r="72" spans="1:7" ht="15">
      <c r="A72" s="10" t="s">
        <v>0</v>
      </c>
      <c r="B72" s="11" t="s">
        <v>0</v>
      </c>
      <c r="C72" s="11" t="s">
        <v>27</v>
      </c>
      <c r="D72" s="11" t="s">
        <v>8</v>
      </c>
      <c r="E72" s="125"/>
      <c r="F72" s="125">
        <f>0.285</f>
        <v>0.285</v>
      </c>
      <c r="G72" s="126">
        <f>E10*F72</f>
        <v>89.6952</v>
      </c>
    </row>
    <row r="73" spans="1:7" ht="15">
      <c r="A73" s="10" t="s">
        <v>0</v>
      </c>
      <c r="B73" s="11" t="s">
        <v>0</v>
      </c>
      <c r="C73" s="11" t="s">
        <v>48</v>
      </c>
      <c r="D73" s="11" t="s">
        <v>10</v>
      </c>
      <c r="E73" s="125"/>
      <c r="F73" s="125">
        <f>0.015</f>
        <v>0.015</v>
      </c>
      <c r="G73" s="126">
        <f>E10*F73</f>
        <v>4.7208000000000006</v>
      </c>
    </row>
    <row r="74" spans="1:7" ht="15">
      <c r="A74" s="10" t="s">
        <v>0</v>
      </c>
      <c r="B74" s="11" t="s">
        <v>0</v>
      </c>
      <c r="C74" s="11" t="s">
        <v>49</v>
      </c>
      <c r="D74" s="11" t="s">
        <v>10</v>
      </c>
      <c r="E74" s="125"/>
      <c r="F74" s="125">
        <f>0.0012</f>
        <v>0.0012</v>
      </c>
      <c r="G74" s="126">
        <f>E10*F74</f>
        <v>0.377664</v>
      </c>
    </row>
    <row r="75" spans="1:7" ht="15">
      <c r="A75" s="10" t="s">
        <v>0</v>
      </c>
      <c r="B75" s="11" t="s">
        <v>0</v>
      </c>
      <c r="C75" s="11" t="s">
        <v>50</v>
      </c>
      <c r="D75" s="11" t="s">
        <v>10</v>
      </c>
      <c r="E75" s="125"/>
      <c r="F75" s="125">
        <f>0.0012</f>
        <v>0.0012</v>
      </c>
      <c r="G75" s="126">
        <f>E10*F75</f>
        <v>0.377664</v>
      </c>
    </row>
    <row r="76" spans="1:7" ht="15">
      <c r="A76" s="10" t="s">
        <v>0</v>
      </c>
      <c r="B76" s="11" t="s">
        <v>0</v>
      </c>
      <c r="C76" s="11" t="s">
        <v>0</v>
      </c>
      <c r="D76" s="11" t="s">
        <v>0</v>
      </c>
      <c r="E76" s="125"/>
      <c r="F76" s="125"/>
      <c r="G76" s="126"/>
    </row>
    <row r="77" spans="1:7" ht="15">
      <c r="A77" s="10" t="s">
        <v>66</v>
      </c>
      <c r="B77" s="11" t="s">
        <v>67</v>
      </c>
      <c r="C77" s="11" t="s">
        <v>68</v>
      </c>
      <c r="D77" s="11" t="s">
        <v>69</v>
      </c>
      <c r="E77" s="125">
        <f>'Du toan chi tiet'!E22</f>
        <v>2.61</v>
      </c>
      <c r="F77" s="125"/>
      <c r="G77" s="126"/>
    </row>
    <row r="78" spans="1:7" ht="15">
      <c r="A78" s="10" t="s">
        <v>0</v>
      </c>
      <c r="B78" s="11" t="s">
        <v>0</v>
      </c>
      <c r="C78" s="11" t="s">
        <v>32</v>
      </c>
      <c r="D78" s="11" t="s">
        <v>33</v>
      </c>
      <c r="E78" s="125"/>
      <c r="F78" s="125">
        <f>1.015*301</f>
        <v>305.515</v>
      </c>
      <c r="G78" s="126">
        <f>E10*F78</f>
        <v>96151.6808</v>
      </c>
    </row>
    <row r="79" spans="1:7" ht="15">
      <c r="A79" s="10" t="s">
        <v>0</v>
      </c>
      <c r="B79" s="11" t="s">
        <v>0</v>
      </c>
      <c r="C79" s="11" t="s">
        <v>34</v>
      </c>
      <c r="D79" s="11" t="s">
        <v>25</v>
      </c>
      <c r="E79" s="125"/>
      <c r="F79" s="125">
        <f>1.015*0.519</f>
        <v>0.526785</v>
      </c>
      <c r="G79" s="126">
        <f>E10*F79</f>
        <v>165.7897752</v>
      </c>
    </row>
    <row r="80" spans="1:7" ht="15">
      <c r="A80" s="10" t="s">
        <v>0</v>
      </c>
      <c r="B80" s="11" t="s">
        <v>0</v>
      </c>
      <c r="C80" s="11" t="s">
        <v>55</v>
      </c>
      <c r="D80" s="11" t="s">
        <v>25</v>
      </c>
      <c r="E80" s="125"/>
      <c r="F80" s="125">
        <f>1.015*0.855</f>
        <v>0.8678249999999998</v>
      </c>
      <c r="G80" s="126">
        <f>E10*F80</f>
        <v>273.12188399999997</v>
      </c>
    </row>
    <row r="81" spans="1:7" ht="15">
      <c r="A81" s="10" t="s">
        <v>0</v>
      </c>
      <c r="B81" s="11" t="s">
        <v>0</v>
      </c>
      <c r="C81" s="11" t="s">
        <v>36</v>
      </c>
      <c r="D81" s="11" t="s">
        <v>25</v>
      </c>
      <c r="E81" s="125"/>
      <c r="F81" s="125">
        <f>1.015*0.183</f>
        <v>0.18574499999999997</v>
      </c>
      <c r="G81" s="126">
        <f>E10*F81</f>
        <v>58.457666399999994</v>
      </c>
    </row>
    <row r="82" spans="1:7" ht="15">
      <c r="A82" s="10" t="s">
        <v>0</v>
      </c>
      <c r="B82" s="11" t="s">
        <v>0</v>
      </c>
      <c r="C82" s="11" t="s">
        <v>70</v>
      </c>
      <c r="D82" s="11" t="s">
        <v>8</v>
      </c>
      <c r="E82" s="125"/>
      <c r="F82" s="125">
        <f>1.93</f>
        <v>1.93</v>
      </c>
      <c r="G82" s="126">
        <f>E10*F82</f>
        <v>607.4096000000001</v>
      </c>
    </row>
    <row r="83" spans="1:7" ht="15">
      <c r="A83" s="10" t="s">
        <v>0</v>
      </c>
      <c r="B83" s="11" t="s">
        <v>0</v>
      </c>
      <c r="C83" s="11" t="s">
        <v>38</v>
      </c>
      <c r="D83" s="11" t="s">
        <v>10</v>
      </c>
      <c r="E83" s="125"/>
      <c r="F83" s="125">
        <f>0.095</f>
        <v>0.095</v>
      </c>
      <c r="G83" s="126">
        <f>E10*F83</f>
        <v>29.898400000000002</v>
      </c>
    </row>
    <row r="84" spans="1:7" ht="15">
      <c r="A84" s="10" t="s">
        <v>0</v>
      </c>
      <c r="B84" s="11" t="s">
        <v>0</v>
      </c>
      <c r="C84" s="11" t="s">
        <v>0</v>
      </c>
      <c r="D84" s="11" t="s">
        <v>0</v>
      </c>
      <c r="E84" s="125"/>
      <c r="F84" s="125"/>
      <c r="G84" s="126"/>
    </row>
    <row r="85" spans="1:7" ht="15">
      <c r="A85" s="10" t="s">
        <v>71</v>
      </c>
      <c r="B85" s="11" t="s">
        <v>72</v>
      </c>
      <c r="C85" s="11" t="s">
        <v>73</v>
      </c>
      <c r="D85" s="11" t="s">
        <v>74</v>
      </c>
      <c r="E85" s="125">
        <f>'Du toan chi tiet'!E23</f>
        <v>0.30321</v>
      </c>
      <c r="F85" s="125"/>
      <c r="G85" s="126"/>
    </row>
    <row r="86" spans="1:7" ht="15">
      <c r="A86" s="10" t="s">
        <v>0</v>
      </c>
      <c r="B86" s="11" t="s">
        <v>0</v>
      </c>
      <c r="C86" s="11" t="s">
        <v>60</v>
      </c>
      <c r="D86" s="11" t="s">
        <v>0</v>
      </c>
      <c r="E86" s="125"/>
      <c r="F86" s="125"/>
      <c r="G86" s="126"/>
    </row>
    <row r="87" spans="1:7" ht="15">
      <c r="A87" s="10" t="s">
        <v>0</v>
      </c>
      <c r="B87" s="11" t="s">
        <v>0</v>
      </c>
      <c r="C87" s="11" t="s">
        <v>75</v>
      </c>
      <c r="D87" s="11" t="s">
        <v>33</v>
      </c>
      <c r="E87" s="125"/>
      <c r="F87" s="125">
        <f>1020</f>
        <v>1020</v>
      </c>
      <c r="G87" s="126">
        <f>E10*F87</f>
        <v>321014.4</v>
      </c>
    </row>
    <row r="88" spans="1:7" ht="15">
      <c r="A88" s="10" t="s">
        <v>0</v>
      </c>
      <c r="B88" s="11" t="s">
        <v>0</v>
      </c>
      <c r="C88" s="11" t="s">
        <v>62</v>
      </c>
      <c r="D88" s="11" t="s">
        <v>33</v>
      </c>
      <c r="E88" s="125"/>
      <c r="F88" s="125">
        <f>16.07</f>
        <v>16.07</v>
      </c>
      <c r="G88" s="126">
        <f>E10*F88</f>
        <v>5057.5504</v>
      </c>
    </row>
    <row r="89" spans="1:7" ht="15">
      <c r="A89" s="10" t="s">
        <v>0</v>
      </c>
      <c r="B89" s="11" t="s">
        <v>0</v>
      </c>
      <c r="C89" s="11" t="s">
        <v>37</v>
      </c>
      <c r="D89" s="11" t="s">
        <v>8</v>
      </c>
      <c r="E89" s="125"/>
      <c r="F89" s="125">
        <f>16.25</f>
        <v>16.25</v>
      </c>
      <c r="G89" s="126">
        <f>E10*F89</f>
        <v>5114.200000000001</v>
      </c>
    </row>
    <row r="90" spans="1:7" ht="15">
      <c r="A90" s="10" t="s">
        <v>0</v>
      </c>
      <c r="B90" s="11" t="s">
        <v>0</v>
      </c>
      <c r="C90" s="11" t="s">
        <v>63</v>
      </c>
      <c r="D90" s="11" t="s">
        <v>10</v>
      </c>
      <c r="E90" s="125"/>
      <c r="F90" s="125">
        <f>0.4</f>
        <v>0.4</v>
      </c>
      <c r="G90" s="126">
        <f>E10*F90</f>
        <v>125.88800000000002</v>
      </c>
    </row>
    <row r="91" spans="1:7" ht="15">
      <c r="A91" s="10" t="s">
        <v>0</v>
      </c>
      <c r="B91" s="11" t="s">
        <v>0</v>
      </c>
      <c r="C91" s="11" t="s">
        <v>0</v>
      </c>
      <c r="D91" s="11" t="s">
        <v>0</v>
      </c>
      <c r="E91" s="125"/>
      <c r="F91" s="125"/>
      <c r="G91" s="126"/>
    </row>
    <row r="92" spans="1:7" ht="15">
      <c r="A92" s="10" t="s">
        <v>76</v>
      </c>
      <c r="B92" s="11" t="s">
        <v>77</v>
      </c>
      <c r="C92" s="11" t="s">
        <v>73</v>
      </c>
      <c r="D92" s="11" t="s">
        <v>74</v>
      </c>
      <c r="E92" s="125">
        <f>'Du toan chi tiet'!E25</f>
        <v>0.05418</v>
      </c>
      <c r="F92" s="125"/>
      <c r="G92" s="126"/>
    </row>
    <row r="93" spans="1:7" ht="15">
      <c r="A93" s="10" t="s">
        <v>0</v>
      </c>
      <c r="B93" s="11" t="s">
        <v>0</v>
      </c>
      <c r="C93" s="11" t="s">
        <v>78</v>
      </c>
      <c r="D93" s="11" t="s">
        <v>0</v>
      </c>
      <c r="E93" s="125"/>
      <c r="F93" s="125"/>
      <c r="G93" s="126"/>
    </row>
    <row r="94" spans="1:7" ht="15">
      <c r="A94" s="10" t="s">
        <v>0</v>
      </c>
      <c r="B94" s="11" t="s">
        <v>0</v>
      </c>
      <c r="C94" s="11" t="s">
        <v>79</v>
      </c>
      <c r="D94" s="11" t="s">
        <v>33</v>
      </c>
      <c r="E94" s="125"/>
      <c r="F94" s="125">
        <f>1020</f>
        <v>1020</v>
      </c>
      <c r="G94" s="126">
        <f>E10*F94</f>
        <v>321014.4</v>
      </c>
    </row>
    <row r="95" spans="1:7" ht="15">
      <c r="A95" s="10" t="s">
        <v>0</v>
      </c>
      <c r="B95" s="11" t="s">
        <v>0</v>
      </c>
      <c r="C95" s="11" t="s">
        <v>62</v>
      </c>
      <c r="D95" s="11" t="s">
        <v>33</v>
      </c>
      <c r="E95" s="125"/>
      <c r="F95" s="125">
        <f>9.28</f>
        <v>9.28</v>
      </c>
      <c r="G95" s="126">
        <f>E10*F95</f>
        <v>2920.6016</v>
      </c>
    </row>
    <row r="96" spans="1:7" ht="15">
      <c r="A96" s="10" t="s">
        <v>0</v>
      </c>
      <c r="B96" s="11" t="s">
        <v>0</v>
      </c>
      <c r="C96" s="11" t="s">
        <v>47</v>
      </c>
      <c r="D96" s="11" t="s">
        <v>33</v>
      </c>
      <c r="E96" s="125"/>
      <c r="F96" s="125">
        <f>4.62</f>
        <v>4.62</v>
      </c>
      <c r="G96" s="126">
        <f>E10*F96</f>
        <v>1454.0064000000002</v>
      </c>
    </row>
    <row r="97" spans="1:7" ht="15">
      <c r="A97" s="10" t="s">
        <v>0</v>
      </c>
      <c r="B97" s="11" t="s">
        <v>0</v>
      </c>
      <c r="C97" s="11" t="s">
        <v>37</v>
      </c>
      <c r="D97" s="11" t="s">
        <v>8</v>
      </c>
      <c r="E97" s="125"/>
      <c r="F97" s="125">
        <f>12.09</f>
        <v>12.09</v>
      </c>
      <c r="G97" s="126">
        <f>E10*F97</f>
        <v>3804.9648</v>
      </c>
    </row>
    <row r="98" spans="1:7" ht="15">
      <c r="A98" s="10" t="s">
        <v>0</v>
      </c>
      <c r="B98" s="11" t="s">
        <v>0</v>
      </c>
      <c r="C98" s="11" t="s">
        <v>48</v>
      </c>
      <c r="D98" s="11" t="s">
        <v>10</v>
      </c>
      <c r="E98" s="125"/>
      <c r="F98" s="125">
        <f>2.127</f>
        <v>2.127</v>
      </c>
      <c r="G98" s="126">
        <f>E10*F98</f>
        <v>669.40944</v>
      </c>
    </row>
    <row r="99" spans="1:7" ht="15">
      <c r="A99" s="10" t="s">
        <v>0</v>
      </c>
      <c r="B99" s="11" t="s">
        <v>0</v>
      </c>
      <c r="C99" s="11" t="s">
        <v>63</v>
      </c>
      <c r="D99" s="11" t="s">
        <v>10</v>
      </c>
      <c r="E99" s="125"/>
      <c r="F99" s="125">
        <f>0.32</f>
        <v>0.32</v>
      </c>
      <c r="G99" s="126">
        <f>E10*F99</f>
        <v>100.7104</v>
      </c>
    </row>
    <row r="100" spans="1:7" ht="15">
      <c r="A100" s="10" t="s">
        <v>0</v>
      </c>
      <c r="B100" s="11" t="s">
        <v>0</v>
      </c>
      <c r="C100" s="11" t="s">
        <v>0</v>
      </c>
      <c r="D100" s="11" t="s">
        <v>0</v>
      </c>
      <c r="E100" s="125"/>
      <c r="F100" s="125"/>
      <c r="G100" s="126"/>
    </row>
    <row r="101" spans="1:7" ht="15">
      <c r="A101" s="10" t="s">
        <v>80</v>
      </c>
      <c r="B101" s="11" t="s">
        <v>81</v>
      </c>
      <c r="C101" s="11" t="s">
        <v>82</v>
      </c>
      <c r="D101" s="11" t="s">
        <v>43</v>
      </c>
      <c r="E101" s="125">
        <f>'Du toan chi tiet'!E27</f>
        <v>12.92</v>
      </c>
      <c r="F101" s="125"/>
      <c r="G101" s="126"/>
    </row>
    <row r="102" spans="1:7" ht="15">
      <c r="A102" s="10" t="s">
        <v>0</v>
      </c>
      <c r="B102" s="11" t="s">
        <v>0</v>
      </c>
      <c r="C102" s="11" t="s">
        <v>44</v>
      </c>
      <c r="D102" s="11" t="s">
        <v>33</v>
      </c>
      <c r="E102" s="125"/>
      <c r="F102" s="125">
        <f>0.2303</f>
        <v>0.2303</v>
      </c>
      <c r="G102" s="126">
        <f>E10*F102</f>
        <v>72.480016</v>
      </c>
    </row>
    <row r="103" spans="1:7" ht="15">
      <c r="A103" s="10" t="s">
        <v>0</v>
      </c>
      <c r="B103" s="11" t="s">
        <v>0</v>
      </c>
      <c r="C103" s="11" t="s">
        <v>45</v>
      </c>
      <c r="D103" s="11" t="s">
        <v>33</v>
      </c>
      <c r="E103" s="125"/>
      <c r="F103" s="125">
        <f>0.1368</f>
        <v>0.1368</v>
      </c>
      <c r="G103" s="126">
        <f>E10*F103</f>
        <v>43.053696</v>
      </c>
    </row>
    <row r="104" spans="1:7" ht="15">
      <c r="A104" s="10" t="s">
        <v>0</v>
      </c>
      <c r="B104" s="11" t="s">
        <v>0</v>
      </c>
      <c r="C104" s="11" t="s">
        <v>47</v>
      </c>
      <c r="D104" s="11" t="s">
        <v>33</v>
      </c>
      <c r="E104" s="125"/>
      <c r="F104" s="125">
        <f>0.012</f>
        <v>0.012</v>
      </c>
      <c r="G104" s="126">
        <f>E10*F104</f>
        <v>3.7766400000000004</v>
      </c>
    </row>
    <row r="105" spans="1:7" ht="15">
      <c r="A105" s="10" t="s">
        <v>0</v>
      </c>
      <c r="B105" s="11" t="s">
        <v>0</v>
      </c>
      <c r="C105" s="11" t="s">
        <v>27</v>
      </c>
      <c r="D105" s="11" t="s">
        <v>8</v>
      </c>
      <c r="E105" s="125"/>
      <c r="F105" s="125">
        <f>0.2306</f>
        <v>0.2306</v>
      </c>
      <c r="G105" s="126">
        <f>E10*F105</f>
        <v>72.574432</v>
      </c>
    </row>
    <row r="106" spans="1:7" ht="15">
      <c r="A106" s="10" t="s">
        <v>0</v>
      </c>
      <c r="B106" s="11" t="s">
        <v>0</v>
      </c>
      <c r="C106" s="11" t="s">
        <v>48</v>
      </c>
      <c r="D106" s="11" t="s">
        <v>10</v>
      </c>
      <c r="E106" s="125"/>
      <c r="F106" s="125">
        <f>0.0033</f>
        <v>0.0033</v>
      </c>
      <c r="G106" s="126">
        <f>E10*F106</f>
        <v>1.0385760000000002</v>
      </c>
    </row>
    <row r="107" spans="1:7" ht="15">
      <c r="A107" s="10" t="s">
        <v>0</v>
      </c>
      <c r="B107" s="11" t="s">
        <v>0</v>
      </c>
      <c r="C107" s="11" t="s">
        <v>0</v>
      </c>
      <c r="D107" s="11" t="s">
        <v>0</v>
      </c>
      <c r="E107" s="125"/>
      <c r="F107" s="125"/>
      <c r="G107" s="126"/>
    </row>
    <row r="108" spans="1:7" ht="15">
      <c r="A108" s="10" t="s">
        <v>83</v>
      </c>
      <c r="B108" s="11" t="s">
        <v>84</v>
      </c>
      <c r="C108" s="11" t="s">
        <v>85</v>
      </c>
      <c r="D108" s="11" t="s">
        <v>86</v>
      </c>
      <c r="E108" s="125">
        <f>'Du toan chi tiet'!E28</f>
        <v>45</v>
      </c>
      <c r="F108" s="125"/>
      <c r="G108" s="126"/>
    </row>
    <row r="109" spans="1:7" ht="15">
      <c r="A109" s="10" t="s">
        <v>0</v>
      </c>
      <c r="B109" s="11" t="s">
        <v>0</v>
      </c>
      <c r="C109" s="11" t="s">
        <v>70</v>
      </c>
      <c r="D109" s="11" t="s">
        <v>8</v>
      </c>
      <c r="E109" s="125"/>
      <c r="F109" s="125">
        <f>0.03</f>
        <v>0.03</v>
      </c>
      <c r="G109" s="126">
        <f>E10*F109</f>
        <v>9.441600000000001</v>
      </c>
    </row>
    <row r="110" spans="1:7" ht="15">
      <c r="A110" s="10" t="s">
        <v>0</v>
      </c>
      <c r="B110" s="11" t="s">
        <v>0</v>
      </c>
      <c r="C110" s="11" t="s">
        <v>87</v>
      </c>
      <c r="D110" s="11" t="s">
        <v>10</v>
      </c>
      <c r="E110" s="125"/>
      <c r="F110" s="125">
        <f>0.015</f>
        <v>0.015</v>
      </c>
      <c r="G110" s="126">
        <f>E10*F110</f>
        <v>4.7208000000000006</v>
      </c>
    </row>
    <row r="111" spans="1:7" ht="15">
      <c r="A111" s="10" t="s">
        <v>0</v>
      </c>
      <c r="B111" s="11" t="s">
        <v>0</v>
      </c>
      <c r="C111" s="11" t="s">
        <v>0</v>
      </c>
      <c r="D111" s="11" t="s">
        <v>0</v>
      </c>
      <c r="E111" s="125"/>
      <c r="F111" s="125"/>
      <c r="G111" s="126"/>
    </row>
    <row r="112" spans="1:7" ht="15">
      <c r="A112" s="10" t="s">
        <v>88</v>
      </c>
      <c r="B112" s="11" t="s">
        <v>89</v>
      </c>
      <c r="C112" s="11" t="s">
        <v>90</v>
      </c>
      <c r="D112" s="11" t="s">
        <v>5</v>
      </c>
      <c r="E112" s="125">
        <f>'Du toan chi tiet'!E29</f>
        <v>5</v>
      </c>
      <c r="F112" s="125"/>
      <c r="G112" s="126"/>
    </row>
    <row r="113" spans="1:7" ht="15">
      <c r="A113" s="10" t="s">
        <v>0</v>
      </c>
      <c r="B113" s="11" t="s">
        <v>0</v>
      </c>
      <c r="C113" s="11" t="s">
        <v>54</v>
      </c>
      <c r="D113" s="11" t="s">
        <v>0</v>
      </c>
      <c r="E113" s="125"/>
      <c r="F113" s="125"/>
      <c r="G113" s="126"/>
    </row>
    <row r="114" spans="1:7" ht="15">
      <c r="A114" s="10" t="s">
        <v>0</v>
      </c>
      <c r="B114" s="11" t="s">
        <v>0</v>
      </c>
      <c r="C114" s="11" t="s">
        <v>32</v>
      </c>
      <c r="D114" s="11" t="s">
        <v>33</v>
      </c>
      <c r="E114" s="125"/>
      <c r="F114" s="125">
        <f>1.025*301</f>
        <v>308.525</v>
      </c>
      <c r="G114" s="126">
        <f>E10*F114</f>
        <v>97098.988</v>
      </c>
    </row>
    <row r="115" spans="1:7" ht="15">
      <c r="A115" s="10" t="s">
        <v>0</v>
      </c>
      <c r="B115" s="11" t="s">
        <v>0</v>
      </c>
      <c r="C115" s="11" t="s">
        <v>34</v>
      </c>
      <c r="D115" s="11" t="s">
        <v>25</v>
      </c>
      <c r="E115" s="125"/>
      <c r="F115" s="125">
        <f>1.025*0.519</f>
        <v>0.531975</v>
      </c>
      <c r="G115" s="126">
        <f>E10*F115</f>
        <v>167.423172</v>
      </c>
    </row>
    <row r="116" spans="1:7" ht="15">
      <c r="A116" s="10" t="s">
        <v>0</v>
      </c>
      <c r="B116" s="11" t="s">
        <v>0</v>
      </c>
      <c r="C116" s="11" t="s">
        <v>55</v>
      </c>
      <c r="D116" s="11" t="s">
        <v>25</v>
      </c>
      <c r="E116" s="125"/>
      <c r="F116" s="125">
        <f>1.025*0.855</f>
        <v>0.8763749999999999</v>
      </c>
      <c r="G116" s="126">
        <f>E10*F116</f>
        <v>275.81274</v>
      </c>
    </row>
    <row r="117" spans="1:7" ht="15">
      <c r="A117" s="10" t="s">
        <v>0</v>
      </c>
      <c r="B117" s="11" t="s">
        <v>0</v>
      </c>
      <c r="C117" s="11" t="s">
        <v>36</v>
      </c>
      <c r="D117" s="11" t="s">
        <v>25</v>
      </c>
      <c r="E117" s="125"/>
      <c r="F117" s="125">
        <f>1.025*0.183</f>
        <v>0.187575</v>
      </c>
      <c r="G117" s="126">
        <f>E10*F117</f>
        <v>59.033604000000004</v>
      </c>
    </row>
    <row r="118" spans="1:7" ht="15">
      <c r="A118" s="10" t="s">
        <v>0</v>
      </c>
      <c r="B118" s="11" t="s">
        <v>0</v>
      </c>
      <c r="C118" s="11" t="s">
        <v>37</v>
      </c>
      <c r="D118" s="11" t="s">
        <v>8</v>
      </c>
      <c r="E118" s="125"/>
      <c r="F118" s="125">
        <f>1.66</f>
        <v>1.66</v>
      </c>
      <c r="G118" s="126">
        <f>E10*F118</f>
        <v>522.4352</v>
      </c>
    </row>
    <row r="119" spans="1:7" ht="15">
      <c r="A119" s="10" t="s">
        <v>0</v>
      </c>
      <c r="B119" s="11" t="s">
        <v>0</v>
      </c>
      <c r="C119" s="11" t="s">
        <v>38</v>
      </c>
      <c r="D119" s="11" t="s">
        <v>10</v>
      </c>
      <c r="E119" s="125"/>
      <c r="F119" s="125">
        <f>0.095</f>
        <v>0.095</v>
      </c>
      <c r="G119" s="126">
        <f>E10*F119</f>
        <v>29.898400000000002</v>
      </c>
    </row>
    <row r="120" spans="1:7" ht="15">
      <c r="A120" s="10" t="s">
        <v>0</v>
      </c>
      <c r="B120" s="11" t="s">
        <v>0</v>
      </c>
      <c r="C120" s="11" t="s">
        <v>39</v>
      </c>
      <c r="D120" s="11" t="s">
        <v>10</v>
      </c>
      <c r="E120" s="125"/>
      <c r="F120" s="125">
        <f>0.089</f>
        <v>0.089</v>
      </c>
      <c r="G120" s="126">
        <f>E10*F120</f>
        <v>28.010080000000002</v>
      </c>
    </row>
    <row r="121" spans="1:7" ht="15">
      <c r="A121" s="10" t="s">
        <v>0</v>
      </c>
      <c r="B121" s="11" t="s">
        <v>0</v>
      </c>
      <c r="C121" s="11" t="s">
        <v>0</v>
      </c>
      <c r="D121" s="11" t="s">
        <v>0</v>
      </c>
      <c r="E121" s="125"/>
      <c r="F121" s="125"/>
      <c r="G121" s="126"/>
    </row>
    <row r="122" spans="1:7" ht="15">
      <c r="A122" s="10" t="s">
        <v>91</v>
      </c>
      <c r="B122" s="11" t="s">
        <v>92</v>
      </c>
      <c r="C122" s="11" t="s">
        <v>93</v>
      </c>
      <c r="D122" s="11" t="s">
        <v>43</v>
      </c>
      <c r="E122" s="125">
        <f>'Du toan chi tiet'!E31</f>
        <v>75.14</v>
      </c>
      <c r="F122" s="125"/>
      <c r="G122" s="126"/>
    </row>
    <row r="123" spans="1:7" ht="15">
      <c r="A123" s="10" t="s">
        <v>0</v>
      </c>
      <c r="B123" s="11" t="s">
        <v>0</v>
      </c>
      <c r="C123" s="11" t="s">
        <v>44</v>
      </c>
      <c r="D123" s="11" t="s">
        <v>33</v>
      </c>
      <c r="E123" s="125"/>
      <c r="F123" s="125">
        <f>0.5181</f>
        <v>0.5181</v>
      </c>
      <c r="G123" s="126">
        <f>E10*F123</f>
        <v>163.05643200000003</v>
      </c>
    </row>
    <row r="124" spans="1:7" ht="15">
      <c r="A124" s="10" t="s">
        <v>0</v>
      </c>
      <c r="B124" s="11" t="s">
        <v>0</v>
      </c>
      <c r="C124" s="11" t="s">
        <v>45</v>
      </c>
      <c r="D124" s="11" t="s">
        <v>33</v>
      </c>
      <c r="E124" s="125"/>
      <c r="F124" s="125">
        <f>0.3024</f>
        <v>0.3024</v>
      </c>
      <c r="G124" s="126">
        <f>E10*F124</f>
        <v>95.171328</v>
      </c>
    </row>
    <row r="125" spans="1:7" ht="15">
      <c r="A125" s="10" t="s">
        <v>0</v>
      </c>
      <c r="B125" s="11" t="s">
        <v>0</v>
      </c>
      <c r="C125" s="11" t="s">
        <v>47</v>
      </c>
      <c r="D125" s="11" t="s">
        <v>33</v>
      </c>
      <c r="E125" s="125"/>
      <c r="F125" s="125">
        <f>0.0294</f>
        <v>0.0294</v>
      </c>
      <c r="G125" s="126">
        <f>E10*F125</f>
        <v>9.252768</v>
      </c>
    </row>
    <row r="126" spans="1:7" ht="15">
      <c r="A126" s="10" t="s">
        <v>0</v>
      </c>
      <c r="B126" s="11" t="s">
        <v>0</v>
      </c>
      <c r="C126" s="11" t="s">
        <v>27</v>
      </c>
      <c r="D126" s="11" t="s">
        <v>8</v>
      </c>
      <c r="E126" s="125"/>
      <c r="F126" s="125">
        <f>0.1136</f>
        <v>0.1136</v>
      </c>
      <c r="G126" s="126">
        <f>E10*F126</f>
        <v>35.75219200000001</v>
      </c>
    </row>
    <row r="127" spans="1:7" ht="15">
      <c r="A127" s="10" t="s">
        <v>0</v>
      </c>
      <c r="B127" s="11" t="s">
        <v>0</v>
      </c>
      <c r="C127" s="11" t="s">
        <v>48</v>
      </c>
      <c r="D127" s="11" t="s">
        <v>10</v>
      </c>
      <c r="E127" s="125"/>
      <c r="F127" s="125">
        <f>0.0075</f>
        <v>0.0075</v>
      </c>
      <c r="G127" s="126">
        <f>E10*F127</f>
        <v>2.3604000000000003</v>
      </c>
    </row>
    <row r="128" spans="1:7" ht="15">
      <c r="A128" s="10" t="s">
        <v>0</v>
      </c>
      <c r="B128" s="11" t="s">
        <v>0</v>
      </c>
      <c r="C128" s="11" t="s">
        <v>0</v>
      </c>
      <c r="D128" s="11" t="s">
        <v>0</v>
      </c>
      <c r="E128" s="125"/>
      <c r="F128" s="125"/>
      <c r="G128" s="126"/>
    </row>
    <row r="129" spans="1:7" ht="15">
      <c r="A129" s="10" t="s">
        <v>94</v>
      </c>
      <c r="B129" s="11" t="s">
        <v>95</v>
      </c>
      <c r="C129" s="11" t="s">
        <v>96</v>
      </c>
      <c r="D129" s="11" t="s">
        <v>97</v>
      </c>
      <c r="E129" s="125">
        <f>'Du toan chi tiet'!E32</f>
        <v>103.5</v>
      </c>
      <c r="F129" s="125"/>
      <c r="G129" s="126"/>
    </row>
    <row r="130" spans="1:7" ht="15">
      <c r="A130" s="10" t="s">
        <v>0</v>
      </c>
      <c r="B130" s="11" t="s">
        <v>0</v>
      </c>
      <c r="C130" s="11" t="s">
        <v>98</v>
      </c>
      <c r="D130" s="11" t="s">
        <v>99</v>
      </c>
      <c r="E130" s="125"/>
      <c r="F130" s="125">
        <f>1.01</f>
        <v>1.01</v>
      </c>
      <c r="G130" s="126">
        <f>E10*F130</f>
        <v>317.8672</v>
      </c>
    </row>
    <row r="131" spans="1:7" ht="15">
      <c r="A131" s="10" t="s">
        <v>0</v>
      </c>
      <c r="B131" s="11" t="s">
        <v>0</v>
      </c>
      <c r="C131" s="11" t="s">
        <v>100</v>
      </c>
      <c r="D131" s="11" t="s">
        <v>101</v>
      </c>
      <c r="E131" s="125"/>
      <c r="F131" s="125">
        <f>0.0076</f>
        <v>0.0076</v>
      </c>
      <c r="G131" s="126">
        <f>E10*F131</f>
        <v>2.391872</v>
      </c>
    </row>
    <row r="132" spans="1:7" ht="15">
      <c r="A132" s="10" t="s">
        <v>0</v>
      </c>
      <c r="B132" s="11" t="s">
        <v>0</v>
      </c>
      <c r="C132" s="11" t="s">
        <v>102</v>
      </c>
      <c r="D132" s="11" t="s">
        <v>101</v>
      </c>
      <c r="E132" s="125"/>
      <c r="F132" s="125">
        <f>0.0032</f>
        <v>0.0032</v>
      </c>
      <c r="G132" s="126">
        <f>E10*F132</f>
        <v>1.0071040000000002</v>
      </c>
    </row>
    <row r="133" spans="1:7" ht="15">
      <c r="A133" s="10" t="s">
        <v>0</v>
      </c>
      <c r="B133" s="11" t="s">
        <v>0</v>
      </c>
      <c r="C133" s="11" t="s">
        <v>37</v>
      </c>
      <c r="D133" s="11" t="s">
        <v>8</v>
      </c>
      <c r="E133" s="125"/>
      <c r="F133" s="125">
        <f>0.1278</f>
        <v>0.1278</v>
      </c>
      <c r="G133" s="126">
        <f>E10*F133</f>
        <v>40.221216000000005</v>
      </c>
    </row>
    <row r="134" spans="1:7" ht="15">
      <c r="A134" s="10" t="s">
        <v>0</v>
      </c>
      <c r="B134" s="11" t="s">
        <v>0</v>
      </c>
      <c r="C134" s="11" t="s">
        <v>0</v>
      </c>
      <c r="D134" s="11" t="s">
        <v>0</v>
      </c>
      <c r="E134" s="125"/>
      <c r="F134" s="125"/>
      <c r="G134" s="126"/>
    </row>
    <row r="135" spans="1:7" ht="15">
      <c r="A135" s="10" t="s">
        <v>103</v>
      </c>
      <c r="B135" s="11" t="s">
        <v>104</v>
      </c>
      <c r="C135" s="11" t="s">
        <v>105</v>
      </c>
      <c r="D135" s="11" t="s">
        <v>5</v>
      </c>
      <c r="E135" s="125">
        <f>'Du toan chi tiet'!E33</f>
        <v>3.64</v>
      </c>
      <c r="F135" s="125"/>
      <c r="G135" s="126"/>
    </row>
    <row r="136" spans="1:7" ht="15">
      <c r="A136" s="10" t="s">
        <v>0</v>
      </c>
      <c r="B136" s="11" t="s">
        <v>0</v>
      </c>
      <c r="C136" s="11" t="s">
        <v>106</v>
      </c>
      <c r="D136" s="11" t="s">
        <v>0</v>
      </c>
      <c r="E136" s="125"/>
      <c r="F136" s="125"/>
      <c r="G136" s="126"/>
    </row>
    <row r="137" spans="1:7" ht="15">
      <c r="A137" s="10" t="s">
        <v>0</v>
      </c>
      <c r="B137" s="11" t="s">
        <v>0</v>
      </c>
      <c r="C137" s="11" t="s">
        <v>107</v>
      </c>
      <c r="D137" s="11" t="s">
        <v>25</v>
      </c>
      <c r="E137" s="125"/>
      <c r="F137" s="125">
        <f>1.22</f>
        <v>1.22</v>
      </c>
      <c r="G137" s="126">
        <f>E10*F137</f>
        <v>383.95840000000004</v>
      </c>
    </row>
    <row r="138" spans="1:7" ht="15">
      <c r="A138" s="10" t="s">
        <v>0</v>
      </c>
      <c r="B138" s="11" t="s">
        <v>0</v>
      </c>
      <c r="C138" s="11" t="s">
        <v>7</v>
      </c>
      <c r="D138" s="11" t="s">
        <v>8</v>
      </c>
      <c r="E138" s="125"/>
      <c r="F138" s="125">
        <f>0.0418</f>
        <v>0.0418</v>
      </c>
      <c r="G138" s="126">
        <f>E10*F138</f>
        <v>13.155296</v>
      </c>
    </row>
    <row r="139" spans="1:7" ht="15">
      <c r="A139" s="10" t="s">
        <v>0</v>
      </c>
      <c r="B139" s="11" t="s">
        <v>0</v>
      </c>
      <c r="C139" s="11" t="s">
        <v>19</v>
      </c>
      <c r="D139" s="11" t="s">
        <v>10</v>
      </c>
      <c r="E139" s="125"/>
      <c r="F139" s="125">
        <f>0.02042</f>
        <v>0.02042</v>
      </c>
      <c r="G139" s="126">
        <f>E10*F139</f>
        <v>6.426582400000001</v>
      </c>
    </row>
    <row r="140" spans="1:7" ht="15">
      <c r="A140" s="10" t="s">
        <v>0</v>
      </c>
      <c r="B140" s="11" t="s">
        <v>0</v>
      </c>
      <c r="C140" s="11" t="s">
        <v>0</v>
      </c>
      <c r="D140" s="11" t="s">
        <v>0</v>
      </c>
      <c r="E140" s="125"/>
      <c r="F140" s="125"/>
      <c r="G140" s="126"/>
    </row>
    <row r="141" spans="1:7" ht="15">
      <c r="A141" s="10" t="s">
        <v>108</v>
      </c>
      <c r="B141" s="11" t="s">
        <v>67</v>
      </c>
      <c r="C141" s="11" t="s">
        <v>109</v>
      </c>
      <c r="D141" s="11" t="s">
        <v>69</v>
      </c>
      <c r="E141" s="125">
        <f>'Du toan chi tiet'!E35</f>
        <v>0.83</v>
      </c>
      <c r="F141" s="125"/>
      <c r="G141" s="126"/>
    </row>
    <row r="142" spans="1:7" ht="15">
      <c r="A142" s="10" t="s">
        <v>0</v>
      </c>
      <c r="B142" s="11" t="s">
        <v>0</v>
      </c>
      <c r="C142" s="11" t="s">
        <v>32</v>
      </c>
      <c r="D142" s="11" t="s">
        <v>33</v>
      </c>
      <c r="E142" s="125"/>
      <c r="F142" s="125">
        <f>1.015*301</f>
        <v>305.515</v>
      </c>
      <c r="G142" s="126">
        <f>E10*F142</f>
        <v>96151.6808</v>
      </c>
    </row>
    <row r="143" spans="1:7" ht="15">
      <c r="A143" s="10" t="s">
        <v>0</v>
      </c>
      <c r="B143" s="11" t="s">
        <v>0</v>
      </c>
      <c r="C143" s="11" t="s">
        <v>34</v>
      </c>
      <c r="D143" s="11" t="s">
        <v>25</v>
      </c>
      <c r="E143" s="125"/>
      <c r="F143" s="125">
        <f>1.015*0.519</f>
        <v>0.526785</v>
      </c>
      <c r="G143" s="126">
        <f>E10*F143</f>
        <v>165.7897752</v>
      </c>
    </row>
    <row r="144" spans="1:7" ht="15">
      <c r="A144" s="10" t="s">
        <v>0</v>
      </c>
      <c r="B144" s="11" t="s">
        <v>0</v>
      </c>
      <c r="C144" s="11" t="s">
        <v>55</v>
      </c>
      <c r="D144" s="11" t="s">
        <v>25</v>
      </c>
      <c r="E144" s="125"/>
      <c r="F144" s="125">
        <f>1.015*0.855</f>
        <v>0.8678249999999998</v>
      </c>
      <c r="G144" s="126">
        <f>E10*F144</f>
        <v>273.12188399999997</v>
      </c>
    </row>
    <row r="145" spans="1:7" ht="15">
      <c r="A145" s="10" t="s">
        <v>0</v>
      </c>
      <c r="B145" s="11" t="s">
        <v>0</v>
      </c>
      <c r="C145" s="11" t="s">
        <v>36</v>
      </c>
      <c r="D145" s="11" t="s">
        <v>25</v>
      </c>
      <c r="E145" s="125"/>
      <c r="F145" s="125">
        <f>1.015*0.183</f>
        <v>0.18574499999999997</v>
      </c>
      <c r="G145" s="126">
        <f>E10*F145</f>
        <v>58.457666399999994</v>
      </c>
    </row>
    <row r="146" spans="1:7" ht="15">
      <c r="A146" s="10" t="s">
        <v>0</v>
      </c>
      <c r="B146" s="11" t="s">
        <v>0</v>
      </c>
      <c r="C146" s="11" t="s">
        <v>70</v>
      </c>
      <c r="D146" s="11" t="s">
        <v>8</v>
      </c>
      <c r="E146" s="125"/>
      <c r="F146" s="125">
        <f>1.93</f>
        <v>1.93</v>
      </c>
      <c r="G146" s="126">
        <f>E10*F146</f>
        <v>607.4096000000001</v>
      </c>
    </row>
    <row r="147" spans="1:7" ht="15">
      <c r="A147" s="10" t="s">
        <v>0</v>
      </c>
      <c r="B147" s="11" t="s">
        <v>0</v>
      </c>
      <c r="C147" s="11" t="s">
        <v>38</v>
      </c>
      <c r="D147" s="11" t="s">
        <v>10</v>
      </c>
      <c r="E147" s="125"/>
      <c r="F147" s="125">
        <f>0.095</f>
        <v>0.095</v>
      </c>
      <c r="G147" s="126">
        <f>E10*F147</f>
        <v>29.898400000000002</v>
      </c>
    </row>
    <row r="148" spans="1:7" ht="15">
      <c r="A148" s="10" t="s">
        <v>0</v>
      </c>
      <c r="B148" s="11" t="s">
        <v>0</v>
      </c>
      <c r="C148" s="11" t="s">
        <v>0</v>
      </c>
      <c r="D148" s="11" t="s">
        <v>0</v>
      </c>
      <c r="E148" s="125"/>
      <c r="F148" s="125"/>
      <c r="G148" s="126"/>
    </row>
    <row r="149" spans="1:7" ht="15">
      <c r="A149" s="10" t="s">
        <v>110</v>
      </c>
      <c r="B149" s="11" t="s">
        <v>77</v>
      </c>
      <c r="C149" s="11" t="s">
        <v>111</v>
      </c>
      <c r="D149" s="11" t="s">
        <v>74</v>
      </c>
      <c r="E149" s="125">
        <f>'Du toan chi tiet'!E37</f>
        <v>0.16458</v>
      </c>
      <c r="F149" s="125"/>
      <c r="G149" s="126"/>
    </row>
    <row r="150" spans="1:7" ht="15">
      <c r="A150" s="10" t="s">
        <v>0</v>
      </c>
      <c r="B150" s="11" t="s">
        <v>0</v>
      </c>
      <c r="C150" s="11" t="s">
        <v>112</v>
      </c>
      <c r="D150" s="11" t="s">
        <v>0</v>
      </c>
      <c r="E150" s="125"/>
      <c r="F150" s="125"/>
      <c r="G150" s="126"/>
    </row>
    <row r="151" spans="1:7" ht="15">
      <c r="A151" s="10" t="s">
        <v>0</v>
      </c>
      <c r="B151" s="11" t="s">
        <v>0</v>
      </c>
      <c r="C151" s="11" t="s">
        <v>79</v>
      </c>
      <c r="D151" s="11" t="s">
        <v>33</v>
      </c>
      <c r="E151" s="125"/>
      <c r="F151" s="125">
        <f>1020</f>
        <v>1020</v>
      </c>
      <c r="G151" s="126">
        <f>E10*F151</f>
        <v>321014.4</v>
      </c>
    </row>
    <row r="152" spans="1:7" ht="15">
      <c r="A152" s="10" t="s">
        <v>0</v>
      </c>
      <c r="B152" s="11" t="s">
        <v>0</v>
      </c>
      <c r="C152" s="11" t="s">
        <v>62</v>
      </c>
      <c r="D152" s="11" t="s">
        <v>33</v>
      </c>
      <c r="E152" s="125"/>
      <c r="F152" s="125">
        <f>9.28</f>
        <v>9.28</v>
      </c>
      <c r="G152" s="126">
        <f>E10*F152</f>
        <v>2920.6016</v>
      </c>
    </row>
    <row r="153" spans="1:7" ht="15">
      <c r="A153" s="10" t="s">
        <v>0</v>
      </c>
      <c r="B153" s="11" t="s">
        <v>0</v>
      </c>
      <c r="C153" s="11" t="s">
        <v>47</v>
      </c>
      <c r="D153" s="11" t="s">
        <v>33</v>
      </c>
      <c r="E153" s="125"/>
      <c r="F153" s="125">
        <f>4.62</f>
        <v>4.62</v>
      </c>
      <c r="G153" s="126">
        <f>E10*F153</f>
        <v>1454.0064000000002</v>
      </c>
    </row>
    <row r="154" spans="1:7" ht="15">
      <c r="A154" s="10" t="s">
        <v>0</v>
      </c>
      <c r="B154" s="11" t="s">
        <v>0</v>
      </c>
      <c r="C154" s="11" t="s">
        <v>37</v>
      </c>
      <c r="D154" s="11" t="s">
        <v>8</v>
      </c>
      <c r="E154" s="125"/>
      <c r="F154" s="125">
        <f>12.09</f>
        <v>12.09</v>
      </c>
      <c r="G154" s="126">
        <f>E10*F154</f>
        <v>3804.9648</v>
      </c>
    </row>
    <row r="155" spans="1:7" ht="15">
      <c r="A155" s="10" t="s">
        <v>0</v>
      </c>
      <c r="B155" s="11" t="s">
        <v>0</v>
      </c>
      <c r="C155" s="11" t="s">
        <v>48</v>
      </c>
      <c r="D155" s="11" t="s">
        <v>10</v>
      </c>
      <c r="E155" s="125"/>
      <c r="F155" s="125">
        <f>2.127</f>
        <v>2.127</v>
      </c>
      <c r="G155" s="126">
        <f>E10*F155</f>
        <v>669.40944</v>
      </c>
    </row>
    <row r="156" spans="1:7" ht="15">
      <c r="A156" s="10" t="s">
        <v>0</v>
      </c>
      <c r="B156" s="11" t="s">
        <v>0</v>
      </c>
      <c r="C156" s="11" t="s">
        <v>63</v>
      </c>
      <c r="D156" s="11" t="s">
        <v>10</v>
      </c>
      <c r="E156" s="125"/>
      <c r="F156" s="125">
        <f>0.32</f>
        <v>0.32</v>
      </c>
      <c r="G156" s="126">
        <f>E10*F156</f>
        <v>100.7104</v>
      </c>
    </row>
    <row r="157" spans="1:7" ht="15">
      <c r="A157" s="10" t="s">
        <v>0</v>
      </c>
      <c r="B157" s="11" t="s">
        <v>0</v>
      </c>
      <c r="C157" s="11" t="s">
        <v>0</v>
      </c>
      <c r="D157" s="11" t="s">
        <v>0</v>
      </c>
      <c r="E157" s="125"/>
      <c r="F157" s="125"/>
      <c r="G157" s="126"/>
    </row>
    <row r="158" spans="1:7" ht="15">
      <c r="A158" s="10" t="s">
        <v>113</v>
      </c>
      <c r="B158" s="11" t="s">
        <v>81</v>
      </c>
      <c r="C158" s="11" t="s">
        <v>114</v>
      </c>
      <c r="D158" s="11" t="s">
        <v>43</v>
      </c>
      <c r="E158" s="125">
        <f>'Du toan chi tiet'!E39</f>
        <v>16.64</v>
      </c>
      <c r="F158" s="125"/>
      <c r="G158" s="126"/>
    </row>
    <row r="159" spans="1:7" ht="15">
      <c r="A159" s="10" t="s">
        <v>0</v>
      </c>
      <c r="B159" s="11" t="s">
        <v>0</v>
      </c>
      <c r="C159" s="11" t="s">
        <v>44</v>
      </c>
      <c r="D159" s="11" t="s">
        <v>33</v>
      </c>
      <c r="E159" s="125"/>
      <c r="F159" s="125">
        <f>0.2303</f>
        <v>0.2303</v>
      </c>
      <c r="G159" s="126">
        <f>E10*F159</f>
        <v>72.480016</v>
      </c>
    </row>
    <row r="160" spans="1:7" ht="15">
      <c r="A160" s="10" t="s">
        <v>0</v>
      </c>
      <c r="B160" s="11" t="s">
        <v>0</v>
      </c>
      <c r="C160" s="11" t="s">
        <v>45</v>
      </c>
      <c r="D160" s="11" t="s">
        <v>33</v>
      </c>
      <c r="E160" s="125"/>
      <c r="F160" s="125">
        <f>0.1368</f>
        <v>0.1368</v>
      </c>
      <c r="G160" s="126">
        <f>E10*F160</f>
        <v>43.053696</v>
      </c>
    </row>
    <row r="161" spans="1:7" ht="15">
      <c r="A161" s="10" t="s">
        <v>0</v>
      </c>
      <c r="B161" s="11" t="s">
        <v>0</v>
      </c>
      <c r="C161" s="11" t="s">
        <v>47</v>
      </c>
      <c r="D161" s="11" t="s">
        <v>33</v>
      </c>
      <c r="E161" s="125"/>
      <c r="F161" s="125">
        <f>0.012</f>
        <v>0.012</v>
      </c>
      <c r="G161" s="126">
        <f>E10*F161</f>
        <v>3.7766400000000004</v>
      </c>
    </row>
    <row r="162" spans="1:7" ht="15">
      <c r="A162" s="10" t="s">
        <v>0</v>
      </c>
      <c r="B162" s="11" t="s">
        <v>0</v>
      </c>
      <c r="C162" s="11" t="s">
        <v>27</v>
      </c>
      <c r="D162" s="11" t="s">
        <v>8</v>
      </c>
      <c r="E162" s="125"/>
      <c r="F162" s="125">
        <f>0.2306</f>
        <v>0.2306</v>
      </c>
      <c r="G162" s="126">
        <f>E10*F162</f>
        <v>72.574432</v>
      </c>
    </row>
    <row r="163" spans="1:7" ht="15">
      <c r="A163" s="10" t="s">
        <v>0</v>
      </c>
      <c r="B163" s="11" t="s">
        <v>0</v>
      </c>
      <c r="C163" s="11" t="s">
        <v>48</v>
      </c>
      <c r="D163" s="11" t="s">
        <v>10</v>
      </c>
      <c r="E163" s="125"/>
      <c r="F163" s="125">
        <f>0.0033</f>
        <v>0.0033</v>
      </c>
      <c r="G163" s="126">
        <f>E10*F163</f>
        <v>1.0385760000000002</v>
      </c>
    </row>
    <row r="164" spans="1:7" ht="15">
      <c r="A164" s="10" t="s">
        <v>0</v>
      </c>
      <c r="B164" s="11" t="s">
        <v>0</v>
      </c>
      <c r="C164" s="11" t="s">
        <v>0</v>
      </c>
      <c r="D164" s="11" t="s">
        <v>0</v>
      </c>
      <c r="E164" s="125"/>
      <c r="F164" s="125"/>
      <c r="G164" s="126"/>
    </row>
    <row r="165" spans="1:7" ht="15">
      <c r="A165" s="10" t="s">
        <v>115</v>
      </c>
      <c r="B165" s="11" t="s">
        <v>84</v>
      </c>
      <c r="C165" s="11" t="s">
        <v>116</v>
      </c>
      <c r="D165" s="11" t="s">
        <v>86</v>
      </c>
      <c r="E165" s="125">
        <f>'Du toan chi tiet'!E40</f>
        <v>26</v>
      </c>
      <c r="F165" s="125"/>
      <c r="G165" s="126"/>
    </row>
    <row r="166" spans="1:7" ht="15">
      <c r="A166" s="10" t="s">
        <v>0</v>
      </c>
      <c r="B166" s="11" t="s">
        <v>0</v>
      </c>
      <c r="C166" s="11" t="s">
        <v>70</v>
      </c>
      <c r="D166" s="11" t="s">
        <v>8</v>
      </c>
      <c r="E166" s="125"/>
      <c r="F166" s="125">
        <f>0.03</f>
        <v>0.03</v>
      </c>
      <c r="G166" s="126">
        <f>E10*F166</f>
        <v>9.441600000000001</v>
      </c>
    </row>
    <row r="167" spans="1:7" ht="15">
      <c r="A167" s="10" t="s">
        <v>0</v>
      </c>
      <c r="B167" s="11" t="s">
        <v>0</v>
      </c>
      <c r="C167" s="11" t="s">
        <v>87</v>
      </c>
      <c r="D167" s="11" t="s">
        <v>10</v>
      </c>
      <c r="E167" s="125"/>
      <c r="F167" s="125">
        <f>0.015</f>
        <v>0.015</v>
      </c>
      <c r="G167" s="126">
        <f>E10*F167</f>
        <v>4.7208000000000006</v>
      </c>
    </row>
    <row r="168" spans="1:7" ht="15">
      <c r="A168" s="10" t="s">
        <v>0</v>
      </c>
      <c r="B168" s="11" t="s">
        <v>0</v>
      </c>
      <c r="C168" s="11" t="s">
        <v>0</v>
      </c>
      <c r="D168" s="11" t="s">
        <v>0</v>
      </c>
      <c r="E168" s="125"/>
      <c r="F168" s="125"/>
      <c r="G168" s="126"/>
    </row>
    <row r="169" spans="1:7" ht="15">
      <c r="A169" s="10" t="s">
        <v>0</v>
      </c>
      <c r="B169" s="11" t="s">
        <v>0</v>
      </c>
      <c r="C169" s="11" t="s">
        <v>0</v>
      </c>
      <c r="D169" s="11" t="s">
        <v>0</v>
      </c>
      <c r="E169" s="125"/>
      <c r="F169" s="125"/>
      <c r="G169" s="126"/>
    </row>
    <row r="170" spans="1:7" ht="15.75">
      <c r="A170" s="8" t="s">
        <v>0</v>
      </c>
      <c r="B170" s="9" t="s">
        <v>0</v>
      </c>
      <c r="C170" s="9" t="s">
        <v>117</v>
      </c>
      <c r="D170" s="9" t="s">
        <v>0</v>
      </c>
      <c r="E170" s="123"/>
      <c r="F170" s="123"/>
      <c r="G170" s="124"/>
    </row>
    <row r="171" spans="1:7" ht="15">
      <c r="A171" s="10" t="s">
        <v>0</v>
      </c>
      <c r="B171" s="11" t="s">
        <v>0</v>
      </c>
      <c r="C171" s="11" t="s">
        <v>0</v>
      </c>
      <c r="D171" s="11" t="s">
        <v>0</v>
      </c>
      <c r="E171" s="125"/>
      <c r="F171" s="125"/>
      <c r="G171" s="126"/>
    </row>
    <row r="172" spans="1:7" ht="15">
      <c r="A172" s="10" t="s">
        <v>118</v>
      </c>
      <c r="B172" s="11" t="s">
        <v>119</v>
      </c>
      <c r="C172" s="11" t="s">
        <v>120</v>
      </c>
      <c r="D172" s="11" t="s">
        <v>121</v>
      </c>
      <c r="E172" s="125">
        <f>'Du toan chi tiet'!E44</f>
        <v>2.4</v>
      </c>
      <c r="F172" s="125"/>
      <c r="G172" s="126"/>
    </row>
    <row r="173" spans="1:7" ht="15">
      <c r="A173" s="10" t="s">
        <v>0</v>
      </c>
      <c r="B173" s="11" t="s">
        <v>0</v>
      </c>
      <c r="C173" s="11" t="s">
        <v>122</v>
      </c>
      <c r="D173" s="11" t="s">
        <v>123</v>
      </c>
      <c r="E173" s="125"/>
      <c r="F173" s="125">
        <f>0.18</f>
        <v>0.18</v>
      </c>
      <c r="G173" s="126">
        <f>E10*F173</f>
        <v>56.6496</v>
      </c>
    </row>
    <row r="174" spans="1:7" ht="15">
      <c r="A174" s="10" t="s">
        <v>0</v>
      </c>
      <c r="B174" s="11" t="s">
        <v>0</v>
      </c>
      <c r="C174" s="11" t="s">
        <v>36</v>
      </c>
      <c r="D174" s="11" t="s">
        <v>25</v>
      </c>
      <c r="E174" s="125"/>
      <c r="F174" s="125">
        <f>0.12</f>
        <v>0.12</v>
      </c>
      <c r="G174" s="126">
        <f>E10*F174</f>
        <v>37.766400000000004</v>
      </c>
    </row>
    <row r="175" spans="1:7" ht="15">
      <c r="A175" s="10" t="s">
        <v>0</v>
      </c>
      <c r="B175" s="11" t="s">
        <v>0</v>
      </c>
      <c r="C175" s="11" t="s">
        <v>37</v>
      </c>
      <c r="D175" s="11" t="s">
        <v>8</v>
      </c>
      <c r="E175" s="125"/>
      <c r="F175" s="125">
        <f>0.55</f>
        <v>0.55</v>
      </c>
      <c r="G175" s="126">
        <f>E10*F175</f>
        <v>173.09600000000003</v>
      </c>
    </row>
    <row r="176" spans="1:7" ht="15">
      <c r="A176" s="10" t="s">
        <v>0</v>
      </c>
      <c r="B176" s="11" t="s">
        <v>0</v>
      </c>
      <c r="C176" s="11" t="s">
        <v>124</v>
      </c>
      <c r="D176" s="11" t="s">
        <v>10</v>
      </c>
      <c r="E176" s="125"/>
      <c r="F176" s="125">
        <f>0.22</f>
        <v>0.22</v>
      </c>
      <c r="G176" s="126">
        <f>E10*F176</f>
        <v>69.23840000000001</v>
      </c>
    </row>
    <row r="177" spans="1:7" ht="15">
      <c r="A177" s="10" t="s">
        <v>0</v>
      </c>
      <c r="B177" s="11" t="s">
        <v>0</v>
      </c>
      <c r="C177" s="11" t="s">
        <v>0</v>
      </c>
      <c r="D177" s="11" t="s">
        <v>0</v>
      </c>
      <c r="E177" s="125"/>
      <c r="F177" s="125"/>
      <c r="G177" s="126"/>
    </row>
    <row r="178" spans="1:7" ht="15">
      <c r="A178" s="10" t="s">
        <v>125</v>
      </c>
      <c r="B178" s="11" t="s">
        <v>126</v>
      </c>
      <c r="C178" s="11" t="s">
        <v>127</v>
      </c>
      <c r="D178" s="11" t="s">
        <v>5</v>
      </c>
      <c r="E178" s="125">
        <f>'Du toan chi tiet'!E45</f>
        <v>10.5</v>
      </c>
      <c r="F178" s="125"/>
      <c r="G178" s="126"/>
    </row>
    <row r="179" spans="1:7" ht="15">
      <c r="A179" s="10" t="s">
        <v>0</v>
      </c>
      <c r="B179" s="11" t="s">
        <v>0</v>
      </c>
      <c r="C179" s="11" t="s">
        <v>7</v>
      </c>
      <c r="D179" s="11" t="s">
        <v>8</v>
      </c>
      <c r="E179" s="125"/>
      <c r="F179" s="125">
        <f>0.0481</f>
        <v>0.0481</v>
      </c>
      <c r="G179" s="126">
        <f>E10*F179</f>
        <v>15.138032</v>
      </c>
    </row>
    <row r="180" spans="1:7" ht="15">
      <c r="A180" s="10" t="s">
        <v>0</v>
      </c>
      <c r="B180" s="11" t="s">
        <v>0</v>
      </c>
      <c r="C180" s="11" t="s">
        <v>128</v>
      </c>
      <c r="D180" s="11" t="s">
        <v>10</v>
      </c>
      <c r="E180" s="125"/>
      <c r="F180" s="125">
        <f>0.00424</f>
        <v>0.00424</v>
      </c>
      <c r="G180" s="126">
        <f>E10*F180</f>
        <v>1.3344128000000002</v>
      </c>
    </row>
    <row r="181" spans="1:7" ht="15">
      <c r="A181" s="10" t="s">
        <v>0</v>
      </c>
      <c r="B181" s="11" t="s">
        <v>0</v>
      </c>
      <c r="C181" s="11" t="s">
        <v>129</v>
      </c>
      <c r="D181" s="11" t="s">
        <v>10</v>
      </c>
      <c r="E181" s="125"/>
      <c r="F181" s="125">
        <f>0.00058</f>
        <v>0.00058</v>
      </c>
      <c r="G181" s="126">
        <f>E10*F181</f>
        <v>0.18253760000000002</v>
      </c>
    </row>
    <row r="182" spans="1:7" ht="15">
      <c r="A182" s="10" t="s">
        <v>0</v>
      </c>
      <c r="B182" s="11" t="s">
        <v>0</v>
      </c>
      <c r="C182" s="11" t="s">
        <v>0</v>
      </c>
      <c r="D182" s="11" t="s">
        <v>0</v>
      </c>
      <c r="E182" s="125"/>
      <c r="F182" s="125"/>
      <c r="G182" s="126"/>
    </row>
    <row r="183" spans="1:7" ht="15">
      <c r="A183" s="10" t="s">
        <v>130</v>
      </c>
      <c r="B183" s="11" t="s">
        <v>3</v>
      </c>
      <c r="C183" s="11" t="s">
        <v>131</v>
      </c>
      <c r="D183" s="11" t="s">
        <v>5</v>
      </c>
      <c r="E183" s="125">
        <f>'Du toan chi tiet'!E46</f>
        <v>1475.85</v>
      </c>
      <c r="F183" s="125"/>
      <c r="G183" s="126"/>
    </row>
    <row r="184" spans="1:7" ht="15">
      <c r="A184" s="10" t="s">
        <v>0</v>
      </c>
      <c r="B184" s="11" t="s">
        <v>0</v>
      </c>
      <c r="C184" s="11" t="s">
        <v>132</v>
      </c>
      <c r="D184" s="11" t="s">
        <v>0</v>
      </c>
      <c r="E184" s="125"/>
      <c r="F184" s="125"/>
      <c r="G184" s="126"/>
    </row>
    <row r="185" spans="1:7" ht="15">
      <c r="A185" s="10" t="s">
        <v>0</v>
      </c>
      <c r="B185" s="11" t="s">
        <v>0</v>
      </c>
      <c r="C185" s="11" t="s">
        <v>7</v>
      </c>
      <c r="D185" s="11" t="s">
        <v>8</v>
      </c>
      <c r="E185" s="125"/>
      <c r="F185" s="125">
        <f>0.0461</f>
        <v>0.0461</v>
      </c>
      <c r="G185" s="126">
        <f>E10*F185</f>
        <v>14.508592000000002</v>
      </c>
    </row>
    <row r="186" spans="1:7" ht="15">
      <c r="A186" s="10" t="s">
        <v>0</v>
      </c>
      <c r="B186" s="11" t="s">
        <v>0</v>
      </c>
      <c r="C186" s="11" t="s">
        <v>9</v>
      </c>
      <c r="D186" s="11" t="s">
        <v>10</v>
      </c>
      <c r="E186" s="125"/>
      <c r="F186" s="125">
        <f>0.00897</f>
        <v>0.00897</v>
      </c>
      <c r="G186" s="126">
        <f>E10*F186</f>
        <v>2.8230384000000006</v>
      </c>
    </row>
    <row r="187" spans="1:7" ht="15">
      <c r="A187" s="10" t="s">
        <v>0</v>
      </c>
      <c r="B187" s="11" t="s">
        <v>0</v>
      </c>
      <c r="C187" s="11" t="s">
        <v>0</v>
      </c>
      <c r="D187" s="11" t="s">
        <v>0</v>
      </c>
      <c r="E187" s="125"/>
      <c r="F187" s="125"/>
      <c r="G187" s="126"/>
    </row>
    <row r="188" spans="1:7" ht="15">
      <c r="A188" s="10" t="s">
        <v>133</v>
      </c>
      <c r="B188" s="11" t="s">
        <v>16</v>
      </c>
      <c r="C188" s="11" t="s">
        <v>17</v>
      </c>
      <c r="D188" s="11" t="s">
        <v>5</v>
      </c>
      <c r="E188" s="125">
        <f>'Du toan chi tiet'!E47</f>
        <v>1258.71</v>
      </c>
      <c r="F188" s="125"/>
      <c r="G188" s="126"/>
    </row>
    <row r="189" spans="1:7" ht="15">
      <c r="A189" s="10" t="s">
        <v>0</v>
      </c>
      <c r="B189" s="11" t="s">
        <v>0</v>
      </c>
      <c r="C189" s="11" t="s">
        <v>134</v>
      </c>
      <c r="D189" s="11" t="s">
        <v>0</v>
      </c>
      <c r="E189" s="125"/>
      <c r="F189" s="125"/>
      <c r="G189" s="126"/>
    </row>
    <row r="190" spans="1:7" ht="15">
      <c r="A190" s="10" t="s">
        <v>0</v>
      </c>
      <c r="B190" s="11" t="s">
        <v>0</v>
      </c>
      <c r="C190" s="11" t="s">
        <v>7</v>
      </c>
      <c r="D190" s="11" t="s">
        <v>8</v>
      </c>
      <c r="E190" s="125"/>
      <c r="F190" s="125">
        <f>0.0713</f>
        <v>0.0713</v>
      </c>
      <c r="G190" s="126">
        <f>E10*F190</f>
        <v>22.439536000000004</v>
      </c>
    </row>
    <row r="191" spans="1:7" ht="15">
      <c r="A191" s="10" t="s">
        <v>0</v>
      </c>
      <c r="B191" s="11" t="s">
        <v>0</v>
      </c>
      <c r="C191" s="11" t="s">
        <v>19</v>
      </c>
      <c r="D191" s="11" t="s">
        <v>10</v>
      </c>
      <c r="E191" s="125"/>
      <c r="F191" s="125">
        <f>0.04428</f>
        <v>0.04428</v>
      </c>
      <c r="G191" s="126">
        <f>E10*F191</f>
        <v>13.935801600000001</v>
      </c>
    </row>
    <row r="192" spans="1:7" ht="15">
      <c r="A192" s="10" t="s">
        <v>0</v>
      </c>
      <c r="B192" s="11" t="s">
        <v>0</v>
      </c>
      <c r="C192" s="11" t="s">
        <v>0</v>
      </c>
      <c r="D192" s="11" t="s">
        <v>0</v>
      </c>
      <c r="E192" s="125"/>
      <c r="F192" s="125"/>
      <c r="G192" s="126"/>
    </row>
    <row r="193" spans="1:7" ht="15">
      <c r="A193" s="10" t="s">
        <v>135</v>
      </c>
      <c r="B193" s="11" t="s">
        <v>21</v>
      </c>
      <c r="C193" s="11" t="s">
        <v>22</v>
      </c>
      <c r="D193" s="11" t="s">
        <v>5</v>
      </c>
      <c r="E193" s="125">
        <f>'Du toan chi tiet'!E49</f>
        <v>35.39</v>
      </c>
      <c r="F193" s="125"/>
      <c r="G193" s="126"/>
    </row>
    <row r="194" spans="1:7" ht="15">
      <c r="A194" s="10" t="s">
        <v>0</v>
      </c>
      <c r="B194" s="11" t="s">
        <v>0</v>
      </c>
      <c r="C194" s="11" t="s">
        <v>136</v>
      </c>
      <c r="D194" s="11" t="s">
        <v>0</v>
      </c>
      <c r="E194" s="125"/>
      <c r="F194" s="125"/>
      <c r="G194" s="126"/>
    </row>
    <row r="195" spans="1:7" ht="15">
      <c r="A195" s="10" t="s">
        <v>0</v>
      </c>
      <c r="B195" s="11" t="s">
        <v>0</v>
      </c>
      <c r="C195" s="11" t="s">
        <v>24</v>
      </c>
      <c r="D195" s="11" t="s">
        <v>25</v>
      </c>
      <c r="E195" s="125"/>
      <c r="F195" s="125">
        <f>1.2</f>
        <v>1.2</v>
      </c>
      <c r="G195" s="126">
        <f>E10*F195</f>
        <v>377.66400000000004</v>
      </c>
    </row>
    <row r="196" spans="1:7" ht="15">
      <c r="A196" s="10" t="s">
        <v>0</v>
      </c>
      <c r="B196" s="11" t="s">
        <v>0</v>
      </c>
      <c r="C196" s="11" t="s">
        <v>26</v>
      </c>
      <c r="D196" s="11" t="s">
        <v>25</v>
      </c>
      <c r="E196" s="125"/>
      <c r="F196" s="125">
        <f>0.3</f>
        <v>0.3</v>
      </c>
      <c r="G196" s="126">
        <f>E10*F196</f>
        <v>94.41600000000001</v>
      </c>
    </row>
    <row r="197" spans="1:7" ht="15">
      <c r="A197" s="10" t="s">
        <v>0</v>
      </c>
      <c r="B197" s="11" t="s">
        <v>0</v>
      </c>
      <c r="C197" s="11" t="s">
        <v>27</v>
      </c>
      <c r="D197" s="11" t="s">
        <v>8</v>
      </c>
      <c r="E197" s="125"/>
      <c r="F197" s="125">
        <f>1.48</f>
        <v>1.48</v>
      </c>
      <c r="G197" s="126">
        <f>E10*F197</f>
        <v>465.78560000000004</v>
      </c>
    </row>
    <row r="198" spans="1:7" ht="15">
      <c r="A198" s="10" t="s">
        <v>0</v>
      </c>
      <c r="B198" s="11" t="s">
        <v>0</v>
      </c>
      <c r="C198" s="11" t="s">
        <v>0</v>
      </c>
      <c r="D198" s="11" t="s">
        <v>0</v>
      </c>
      <c r="E198" s="125"/>
      <c r="F198" s="125"/>
      <c r="G198" s="126"/>
    </row>
    <row r="199" spans="1:7" ht="15">
      <c r="A199" s="10" t="s">
        <v>137</v>
      </c>
      <c r="B199" s="11" t="s">
        <v>138</v>
      </c>
      <c r="C199" s="11" t="s">
        <v>139</v>
      </c>
      <c r="D199" s="11" t="s">
        <v>140</v>
      </c>
      <c r="E199" s="125">
        <f>'Du toan chi tiet'!E50</f>
        <v>432</v>
      </c>
      <c r="F199" s="125"/>
      <c r="G199" s="126"/>
    </row>
    <row r="200" spans="1:7" ht="15">
      <c r="A200" s="10" t="s">
        <v>0</v>
      </c>
      <c r="B200" s="11" t="s">
        <v>0</v>
      </c>
      <c r="C200" s="11" t="s">
        <v>141</v>
      </c>
      <c r="D200" s="11" t="s">
        <v>123</v>
      </c>
      <c r="E200" s="125"/>
      <c r="F200" s="125">
        <f>1</f>
        <v>1</v>
      </c>
      <c r="G200" s="126">
        <f>E10*F200</f>
        <v>314.72</v>
      </c>
    </row>
    <row r="201" spans="1:7" ht="15">
      <c r="A201" s="10" t="s">
        <v>0</v>
      </c>
      <c r="B201" s="11" t="s">
        <v>0</v>
      </c>
      <c r="C201" s="11" t="s">
        <v>37</v>
      </c>
      <c r="D201" s="11" t="s">
        <v>8</v>
      </c>
      <c r="E201" s="125"/>
      <c r="F201" s="125">
        <f>0.11</f>
        <v>0.11</v>
      </c>
      <c r="G201" s="126">
        <f>E10*F201</f>
        <v>34.619200000000006</v>
      </c>
    </row>
    <row r="202" spans="1:7" ht="15">
      <c r="A202" s="10" t="s">
        <v>0</v>
      </c>
      <c r="B202" s="11" t="s">
        <v>0</v>
      </c>
      <c r="C202" s="11" t="s">
        <v>0</v>
      </c>
      <c r="D202" s="11" t="s">
        <v>0</v>
      </c>
      <c r="E202" s="125"/>
      <c r="F202" s="125"/>
      <c r="G202" s="126"/>
    </row>
    <row r="203" spans="1:7" ht="15">
      <c r="A203" s="10" t="s">
        <v>142</v>
      </c>
      <c r="B203" s="11" t="s">
        <v>143</v>
      </c>
      <c r="C203" s="11" t="s">
        <v>144</v>
      </c>
      <c r="D203" s="11" t="s">
        <v>97</v>
      </c>
      <c r="E203" s="125">
        <f>'Du toan chi tiet'!E51</f>
        <v>58</v>
      </c>
      <c r="F203" s="125"/>
      <c r="G203" s="126"/>
    </row>
    <row r="204" spans="1:7" ht="15">
      <c r="A204" s="10" t="s">
        <v>0</v>
      </c>
      <c r="B204" s="11" t="s">
        <v>0</v>
      </c>
      <c r="C204" s="11" t="s">
        <v>145</v>
      </c>
      <c r="D204" s="11" t="s">
        <v>0</v>
      </c>
      <c r="E204" s="125"/>
      <c r="F204" s="125"/>
      <c r="G204" s="126"/>
    </row>
    <row r="205" spans="1:7" ht="15">
      <c r="A205" s="10" t="s">
        <v>0</v>
      </c>
      <c r="B205" s="11" t="s">
        <v>0</v>
      </c>
      <c r="C205" s="11" t="s">
        <v>146</v>
      </c>
      <c r="D205" s="11" t="s">
        <v>99</v>
      </c>
      <c r="E205" s="125"/>
      <c r="F205" s="125">
        <f>1</f>
        <v>1</v>
      </c>
      <c r="G205" s="126">
        <f>E10*F205</f>
        <v>314.72</v>
      </c>
    </row>
    <row r="206" spans="1:7" ht="15">
      <c r="A206" s="10" t="s">
        <v>0</v>
      </c>
      <c r="B206" s="11" t="s">
        <v>0</v>
      </c>
      <c r="C206" s="11" t="s">
        <v>37</v>
      </c>
      <c r="D206" s="11" t="s">
        <v>8</v>
      </c>
      <c r="E206" s="125"/>
      <c r="F206" s="125">
        <f>0.38</f>
        <v>0.38</v>
      </c>
      <c r="G206" s="126">
        <f>E10*F206</f>
        <v>119.59360000000001</v>
      </c>
    </row>
    <row r="207" spans="1:7" ht="15">
      <c r="A207" s="10" t="s">
        <v>0</v>
      </c>
      <c r="B207" s="11" t="s">
        <v>0</v>
      </c>
      <c r="C207" s="11" t="s">
        <v>147</v>
      </c>
      <c r="D207" s="11" t="s">
        <v>10</v>
      </c>
      <c r="E207" s="125"/>
      <c r="F207" s="125">
        <f>0.062</f>
        <v>0.062</v>
      </c>
      <c r="G207" s="126">
        <f>E10*F207</f>
        <v>19.51264</v>
      </c>
    </row>
    <row r="208" spans="1:7" ht="15">
      <c r="A208" s="10" t="s">
        <v>0</v>
      </c>
      <c r="B208" s="11" t="s">
        <v>0</v>
      </c>
      <c r="C208" s="11" t="s">
        <v>0</v>
      </c>
      <c r="D208" s="11" t="s">
        <v>0</v>
      </c>
      <c r="E208" s="125"/>
      <c r="F208" s="125"/>
      <c r="G208" s="126"/>
    </row>
    <row r="209" spans="1:7" ht="15">
      <c r="A209" s="10" t="s">
        <v>148</v>
      </c>
      <c r="B209" s="11" t="s">
        <v>149</v>
      </c>
      <c r="C209" s="11" t="s">
        <v>150</v>
      </c>
      <c r="D209" s="11" t="s">
        <v>97</v>
      </c>
      <c r="E209" s="125">
        <f>'Du toan chi tiet'!E53</f>
        <v>441.5</v>
      </c>
      <c r="F209" s="125"/>
      <c r="G209" s="126"/>
    </row>
    <row r="210" spans="1:7" ht="15">
      <c r="A210" s="10" t="s">
        <v>0</v>
      </c>
      <c r="B210" s="11" t="s">
        <v>0</v>
      </c>
      <c r="C210" s="11" t="s">
        <v>151</v>
      </c>
      <c r="D210" s="11" t="s">
        <v>0</v>
      </c>
      <c r="E210" s="125"/>
      <c r="F210" s="125"/>
      <c r="G210" s="126"/>
    </row>
    <row r="211" spans="1:7" ht="15">
      <c r="A211" s="10" t="s">
        <v>0</v>
      </c>
      <c r="B211" s="11" t="s">
        <v>0</v>
      </c>
      <c r="C211" s="11" t="s">
        <v>152</v>
      </c>
      <c r="D211" s="11" t="s">
        <v>99</v>
      </c>
      <c r="E211" s="125"/>
      <c r="F211" s="125">
        <f>1</f>
        <v>1</v>
      </c>
      <c r="G211" s="126">
        <f>E10*F211</f>
        <v>314.72</v>
      </c>
    </row>
    <row r="212" spans="1:7" ht="15">
      <c r="A212" s="10" t="s">
        <v>0</v>
      </c>
      <c r="B212" s="11" t="s">
        <v>0</v>
      </c>
      <c r="C212" s="11" t="s">
        <v>37</v>
      </c>
      <c r="D212" s="11" t="s">
        <v>8</v>
      </c>
      <c r="E212" s="125"/>
      <c r="F212" s="125">
        <f>0.38</f>
        <v>0.38</v>
      </c>
      <c r="G212" s="126">
        <f>E10*F212</f>
        <v>119.59360000000001</v>
      </c>
    </row>
    <row r="213" spans="1:7" ht="15">
      <c r="A213" s="10" t="s">
        <v>0</v>
      </c>
      <c r="B213" s="11" t="s">
        <v>0</v>
      </c>
      <c r="C213" s="11" t="s">
        <v>147</v>
      </c>
      <c r="D213" s="11" t="s">
        <v>10</v>
      </c>
      <c r="E213" s="125"/>
      <c r="F213" s="125">
        <f>0.062</f>
        <v>0.062</v>
      </c>
      <c r="G213" s="126">
        <f>E10*F213</f>
        <v>19.51264</v>
      </c>
    </row>
    <row r="214" spans="1:7" ht="15">
      <c r="A214" s="10" t="s">
        <v>0</v>
      </c>
      <c r="B214" s="11" t="s">
        <v>0</v>
      </c>
      <c r="C214" s="11" t="s">
        <v>0</v>
      </c>
      <c r="D214" s="11" t="s">
        <v>0</v>
      </c>
      <c r="E214" s="125"/>
      <c r="F214" s="125"/>
      <c r="G214" s="126"/>
    </row>
    <row r="215" spans="1:7" ht="15">
      <c r="A215" s="10" t="s">
        <v>153</v>
      </c>
      <c r="B215" s="11" t="s">
        <v>154</v>
      </c>
      <c r="C215" s="11" t="s">
        <v>155</v>
      </c>
      <c r="D215" s="11" t="s">
        <v>156</v>
      </c>
      <c r="E215" s="125">
        <f>'Du toan chi tiet'!E55</f>
        <v>185</v>
      </c>
      <c r="F215" s="125"/>
      <c r="G215" s="126"/>
    </row>
    <row r="216" spans="1:7" ht="15">
      <c r="A216" s="10" t="s">
        <v>0</v>
      </c>
      <c r="B216" s="11" t="s">
        <v>0</v>
      </c>
      <c r="C216" s="11" t="s">
        <v>157</v>
      </c>
      <c r="D216" s="11" t="s">
        <v>0</v>
      </c>
      <c r="E216" s="125"/>
      <c r="F216" s="125"/>
      <c r="G216" s="126"/>
    </row>
    <row r="217" spans="1:7" ht="15">
      <c r="A217" s="10" t="s">
        <v>0</v>
      </c>
      <c r="B217" s="11" t="s">
        <v>0</v>
      </c>
      <c r="C217" s="11" t="s">
        <v>158</v>
      </c>
      <c r="D217" s="11" t="s">
        <v>33</v>
      </c>
      <c r="E217" s="125"/>
      <c r="F217" s="125">
        <f>0.0096*231</f>
        <v>2.2176</v>
      </c>
      <c r="G217" s="126">
        <f>E10*F217</f>
        <v>697.923072</v>
      </c>
    </row>
    <row r="218" spans="1:7" ht="15">
      <c r="A218" s="10" t="s">
        <v>0</v>
      </c>
      <c r="B218" s="11" t="s">
        <v>0</v>
      </c>
      <c r="C218" s="11" t="s">
        <v>159</v>
      </c>
      <c r="D218" s="11" t="s">
        <v>33</v>
      </c>
      <c r="E218" s="125"/>
      <c r="F218" s="125">
        <f>0.0096*82</f>
        <v>0.7871999999999999</v>
      </c>
      <c r="G218" s="126">
        <f>E10*F218</f>
        <v>247.747584</v>
      </c>
    </row>
    <row r="219" spans="1:7" ht="15">
      <c r="A219" s="10" t="s">
        <v>0</v>
      </c>
      <c r="B219" s="11" t="s">
        <v>0</v>
      </c>
      <c r="C219" s="11" t="s">
        <v>160</v>
      </c>
      <c r="D219" s="11" t="s">
        <v>25</v>
      </c>
      <c r="E219" s="125"/>
      <c r="F219" s="125">
        <f>0.0096*1.224</f>
        <v>0.0117504</v>
      </c>
      <c r="G219" s="126">
        <f>E10*F219</f>
        <v>3.698085888</v>
      </c>
    </row>
    <row r="220" spans="1:7" ht="15">
      <c r="A220" s="10" t="s">
        <v>0</v>
      </c>
      <c r="B220" s="11" t="s">
        <v>0</v>
      </c>
      <c r="C220" s="11" t="s">
        <v>36</v>
      </c>
      <c r="D220" s="11" t="s">
        <v>25</v>
      </c>
      <c r="E220" s="125"/>
      <c r="F220" s="125">
        <f>0.0096*0.426</f>
        <v>0.0040896</v>
      </c>
      <c r="G220" s="126">
        <f>E10*F220</f>
        <v>1.287078912</v>
      </c>
    </row>
    <row r="221" spans="1:7" ht="15">
      <c r="A221" s="10" t="s">
        <v>0</v>
      </c>
      <c r="B221" s="11" t="s">
        <v>0</v>
      </c>
      <c r="C221" s="11" t="s">
        <v>37</v>
      </c>
      <c r="D221" s="11" t="s">
        <v>8</v>
      </c>
      <c r="E221" s="125"/>
      <c r="F221" s="125">
        <f>0.13</f>
        <v>0.13</v>
      </c>
      <c r="G221" s="126">
        <f>E10*F221</f>
        <v>40.9136</v>
      </c>
    </row>
    <row r="222" spans="1:7" ht="15">
      <c r="A222" s="10" t="s">
        <v>0</v>
      </c>
      <c r="B222" s="11" t="s">
        <v>0</v>
      </c>
      <c r="C222" s="11" t="s">
        <v>0</v>
      </c>
      <c r="D222" s="11" t="s">
        <v>0</v>
      </c>
      <c r="E222" s="125"/>
      <c r="F222" s="125"/>
      <c r="G222" s="126"/>
    </row>
    <row r="223" spans="1:7" ht="15">
      <c r="A223" s="10" t="s">
        <v>0</v>
      </c>
      <c r="B223" s="11" t="s">
        <v>0</v>
      </c>
      <c r="C223" s="11" t="s">
        <v>0</v>
      </c>
      <c r="D223" s="11" t="s">
        <v>0</v>
      </c>
      <c r="E223" s="125"/>
      <c r="F223" s="125"/>
      <c r="G223" s="126"/>
    </row>
    <row r="224" spans="1:7" ht="15">
      <c r="A224" s="10" t="s">
        <v>161</v>
      </c>
      <c r="B224" s="11" t="s">
        <v>3</v>
      </c>
      <c r="C224" s="11" t="s">
        <v>162</v>
      </c>
      <c r="D224" s="11" t="s">
        <v>5</v>
      </c>
      <c r="E224" s="125">
        <f>'Du toan chi tiet'!E57</f>
        <v>40</v>
      </c>
      <c r="F224" s="125"/>
      <c r="G224" s="126"/>
    </row>
    <row r="225" spans="1:7" ht="15">
      <c r="A225" s="10" t="s">
        <v>0</v>
      </c>
      <c r="B225" s="11" t="s">
        <v>0</v>
      </c>
      <c r="C225" s="11" t="s">
        <v>163</v>
      </c>
      <c r="D225" s="11" t="s">
        <v>0</v>
      </c>
      <c r="E225" s="125"/>
      <c r="F225" s="125"/>
      <c r="G225" s="126"/>
    </row>
    <row r="226" spans="1:7" ht="15">
      <c r="A226" s="10" t="s">
        <v>0</v>
      </c>
      <c r="B226" s="11" t="s">
        <v>0</v>
      </c>
      <c r="C226" s="11" t="s">
        <v>7</v>
      </c>
      <c r="D226" s="11" t="s">
        <v>8</v>
      </c>
      <c r="E226" s="125"/>
      <c r="F226" s="125">
        <f>0.0461</f>
        <v>0.0461</v>
      </c>
      <c r="G226" s="126">
        <f>E10*F226</f>
        <v>14.508592000000002</v>
      </c>
    </row>
    <row r="227" spans="1:7" ht="15">
      <c r="A227" s="10" t="s">
        <v>0</v>
      </c>
      <c r="B227" s="11" t="s">
        <v>0</v>
      </c>
      <c r="C227" s="11" t="s">
        <v>9</v>
      </c>
      <c r="D227" s="11" t="s">
        <v>10</v>
      </c>
      <c r="E227" s="125"/>
      <c r="F227" s="125">
        <f>0.00897</f>
        <v>0.00897</v>
      </c>
      <c r="G227" s="126">
        <f>E10*F227</f>
        <v>2.8230384000000006</v>
      </c>
    </row>
    <row r="228" spans="1:7" ht="15">
      <c r="A228" s="10" t="s">
        <v>0</v>
      </c>
      <c r="B228" s="11" t="s">
        <v>0</v>
      </c>
      <c r="C228" s="11" t="s">
        <v>0</v>
      </c>
      <c r="D228" s="11" t="s">
        <v>0</v>
      </c>
      <c r="E228" s="125"/>
      <c r="F228" s="125"/>
      <c r="G228" s="126"/>
    </row>
    <row r="229" spans="1:7" ht="15">
      <c r="A229" s="10" t="s">
        <v>164</v>
      </c>
      <c r="B229" s="11" t="s">
        <v>165</v>
      </c>
      <c r="C229" s="11" t="s">
        <v>166</v>
      </c>
      <c r="D229" s="11" t="s">
        <v>167</v>
      </c>
      <c r="E229" s="125">
        <f>'Du toan chi tiet'!E58</f>
        <v>40</v>
      </c>
      <c r="F229" s="125"/>
      <c r="G229" s="126"/>
    </row>
    <row r="230" spans="1:7" ht="15">
      <c r="A230" s="10" t="s">
        <v>0</v>
      </c>
      <c r="B230" s="11" t="s">
        <v>0</v>
      </c>
      <c r="C230" s="11" t="s">
        <v>168</v>
      </c>
      <c r="D230" s="11" t="s">
        <v>167</v>
      </c>
      <c r="E230" s="125"/>
      <c r="F230" s="125">
        <f>1</f>
        <v>1</v>
      </c>
      <c r="G230" s="126">
        <f>E10*F230</f>
        <v>314.72</v>
      </c>
    </row>
    <row r="231" spans="1:7" ht="15">
      <c r="A231" s="10" t="s">
        <v>0</v>
      </c>
      <c r="B231" s="11" t="s">
        <v>0</v>
      </c>
      <c r="C231" s="11" t="s">
        <v>169</v>
      </c>
      <c r="D231" s="11" t="s">
        <v>167</v>
      </c>
      <c r="E231" s="125"/>
      <c r="F231" s="125">
        <f>4</f>
        <v>4</v>
      </c>
      <c r="G231" s="126">
        <f>E10*F231</f>
        <v>1258.88</v>
      </c>
    </row>
    <row r="232" spans="1:7" ht="15">
      <c r="A232" s="10" t="s">
        <v>0</v>
      </c>
      <c r="B232" s="11" t="s">
        <v>0</v>
      </c>
      <c r="C232" s="11" t="s">
        <v>170</v>
      </c>
      <c r="D232" s="11" t="s">
        <v>167</v>
      </c>
      <c r="E232" s="125"/>
      <c r="F232" s="125">
        <f>4</f>
        <v>4</v>
      </c>
      <c r="G232" s="126">
        <f>E10*F232</f>
        <v>1258.88</v>
      </c>
    </row>
    <row r="233" spans="1:7" ht="15">
      <c r="A233" s="10" t="s">
        <v>0</v>
      </c>
      <c r="B233" s="11" t="s">
        <v>0</v>
      </c>
      <c r="C233" s="11" t="s">
        <v>171</v>
      </c>
      <c r="D233" s="11" t="s">
        <v>123</v>
      </c>
      <c r="E233" s="125"/>
      <c r="F233" s="125">
        <f>0.1</f>
        <v>0.1</v>
      </c>
      <c r="G233" s="126">
        <f>E10*F233</f>
        <v>31.472000000000005</v>
      </c>
    </row>
    <row r="234" spans="1:7" ht="15">
      <c r="A234" s="10" t="s">
        <v>0</v>
      </c>
      <c r="B234" s="11" t="s">
        <v>0</v>
      </c>
      <c r="C234" s="11" t="s">
        <v>172</v>
      </c>
      <c r="D234" s="11" t="s">
        <v>33</v>
      </c>
      <c r="E234" s="125"/>
      <c r="F234" s="125">
        <f>0.05</f>
        <v>0.05</v>
      </c>
      <c r="G234" s="126">
        <f>E10*F234</f>
        <v>15.736000000000002</v>
      </c>
    </row>
    <row r="235" spans="1:7" ht="15">
      <c r="A235" s="10" t="s">
        <v>0</v>
      </c>
      <c r="B235" s="11" t="s">
        <v>0</v>
      </c>
      <c r="C235" s="11" t="s">
        <v>36</v>
      </c>
      <c r="D235" s="11" t="s">
        <v>25</v>
      </c>
      <c r="E235" s="125"/>
      <c r="F235" s="125">
        <f>0.012</f>
        <v>0.012</v>
      </c>
      <c r="G235" s="126">
        <f>E10*F235</f>
        <v>3.7766400000000004</v>
      </c>
    </row>
    <row r="236" spans="1:7" ht="15">
      <c r="A236" s="10" t="s">
        <v>0</v>
      </c>
      <c r="B236" s="11" t="s">
        <v>0</v>
      </c>
      <c r="C236" s="11" t="s">
        <v>173</v>
      </c>
      <c r="D236" s="11" t="s">
        <v>33</v>
      </c>
      <c r="E236" s="125"/>
      <c r="F236" s="125">
        <f>4.78</f>
        <v>4.78</v>
      </c>
      <c r="G236" s="126">
        <f>E10*F236</f>
        <v>1504.3616000000002</v>
      </c>
    </row>
    <row r="237" spans="1:7" ht="15">
      <c r="A237" s="10" t="s">
        <v>0</v>
      </c>
      <c r="B237" s="11" t="s">
        <v>0</v>
      </c>
      <c r="C237" s="11" t="s">
        <v>174</v>
      </c>
      <c r="D237" s="11" t="s">
        <v>25</v>
      </c>
      <c r="E237" s="125"/>
      <c r="F237" s="125">
        <f>0.042</f>
        <v>0.042</v>
      </c>
      <c r="G237" s="126">
        <f>E10*F237</f>
        <v>13.218240000000002</v>
      </c>
    </row>
    <row r="238" spans="1:7" ht="15">
      <c r="A238" s="10" t="s">
        <v>0</v>
      </c>
      <c r="B238" s="11" t="s">
        <v>0</v>
      </c>
      <c r="C238" s="11" t="s">
        <v>175</v>
      </c>
      <c r="D238" s="11" t="s">
        <v>8</v>
      </c>
      <c r="E238" s="125"/>
      <c r="F238" s="125">
        <f>0.602</f>
        <v>0.602</v>
      </c>
      <c r="G238" s="126">
        <f>E10*F238</f>
        <v>189.46144</v>
      </c>
    </row>
    <row r="239" spans="1:7" ht="15">
      <c r="A239" s="10" t="s">
        <v>0</v>
      </c>
      <c r="B239" s="11" t="s">
        <v>0</v>
      </c>
      <c r="C239" s="11" t="s">
        <v>0</v>
      </c>
      <c r="D239" s="11" t="s">
        <v>0</v>
      </c>
      <c r="E239" s="125"/>
      <c r="F239" s="125"/>
      <c r="G239" s="126"/>
    </row>
    <row r="240" spans="1:7" ht="15">
      <c r="A240" s="10" t="s">
        <v>176</v>
      </c>
      <c r="B240" s="11" t="s">
        <v>177</v>
      </c>
      <c r="C240" s="11" t="s">
        <v>178</v>
      </c>
      <c r="D240" s="11" t="s">
        <v>179</v>
      </c>
      <c r="E240" s="125">
        <f>'Du toan chi tiet'!E59</f>
        <v>40</v>
      </c>
      <c r="F240" s="125"/>
      <c r="G240" s="126"/>
    </row>
    <row r="241" spans="1:7" ht="15">
      <c r="A241" s="10" t="s">
        <v>0</v>
      </c>
      <c r="B241" s="11" t="s">
        <v>0</v>
      </c>
      <c r="C241" s="11" t="s">
        <v>36</v>
      </c>
      <c r="D241" s="11" t="s">
        <v>25</v>
      </c>
      <c r="E241" s="125"/>
      <c r="F241" s="125">
        <f>0.9</f>
        <v>0.9</v>
      </c>
      <c r="G241" s="126">
        <f>E10*F241</f>
        <v>283.24800000000005</v>
      </c>
    </row>
    <row r="242" spans="1:7" ht="15">
      <c r="A242" s="10" t="s">
        <v>0</v>
      </c>
      <c r="B242" s="11" t="s">
        <v>0</v>
      </c>
      <c r="C242" s="11" t="s">
        <v>175</v>
      </c>
      <c r="D242" s="11" t="s">
        <v>8</v>
      </c>
      <c r="E242" s="125"/>
      <c r="F242" s="125">
        <f>0.695</f>
        <v>0.695</v>
      </c>
      <c r="G242" s="126">
        <f>E10*F242</f>
        <v>218.7304</v>
      </c>
    </row>
    <row r="243" spans="1:7" ht="15">
      <c r="A243" s="10" t="s">
        <v>0</v>
      </c>
      <c r="B243" s="11" t="s">
        <v>0</v>
      </c>
      <c r="C243" s="11" t="s">
        <v>0</v>
      </c>
      <c r="D243" s="11" t="s">
        <v>0</v>
      </c>
      <c r="E243" s="125"/>
      <c r="F243" s="125"/>
      <c r="G243" s="126"/>
    </row>
    <row r="244" spans="1:7" ht="15">
      <c r="A244" s="10" t="s">
        <v>180</v>
      </c>
      <c r="B244" s="11" t="s">
        <v>181</v>
      </c>
      <c r="C244" s="11" t="s">
        <v>182</v>
      </c>
      <c r="D244" s="11" t="s">
        <v>5</v>
      </c>
      <c r="E244" s="125">
        <f>'Du toan chi tiet'!E60</f>
        <v>7.1</v>
      </c>
      <c r="F244" s="125"/>
      <c r="G244" s="126"/>
    </row>
    <row r="245" spans="1:7" ht="15">
      <c r="A245" s="10" t="s">
        <v>0</v>
      </c>
      <c r="B245" s="11" t="s">
        <v>0</v>
      </c>
      <c r="C245" s="11" t="s">
        <v>54</v>
      </c>
      <c r="D245" s="11" t="s">
        <v>0</v>
      </c>
      <c r="E245" s="125"/>
      <c r="F245" s="125"/>
      <c r="G245" s="126"/>
    </row>
    <row r="246" spans="1:7" ht="15">
      <c r="A246" s="10" t="s">
        <v>0</v>
      </c>
      <c r="B246" s="11" t="s">
        <v>0</v>
      </c>
      <c r="C246" s="11" t="s">
        <v>32</v>
      </c>
      <c r="D246" s="11" t="s">
        <v>33</v>
      </c>
      <c r="E246" s="125"/>
      <c r="F246" s="125">
        <f>1.025*301</f>
        <v>308.525</v>
      </c>
      <c r="G246" s="126">
        <f>E10*F246</f>
        <v>97098.988</v>
      </c>
    </row>
    <row r="247" spans="1:7" ht="15">
      <c r="A247" s="10" t="s">
        <v>0</v>
      </c>
      <c r="B247" s="11" t="s">
        <v>0</v>
      </c>
      <c r="C247" s="11" t="s">
        <v>34</v>
      </c>
      <c r="D247" s="11" t="s">
        <v>25</v>
      </c>
      <c r="E247" s="125"/>
      <c r="F247" s="125">
        <f>1.025*0.519</f>
        <v>0.531975</v>
      </c>
      <c r="G247" s="126">
        <f>E10*F247</f>
        <v>167.423172</v>
      </c>
    </row>
    <row r="248" spans="1:7" ht="15">
      <c r="A248" s="10" t="s">
        <v>0</v>
      </c>
      <c r="B248" s="11" t="s">
        <v>0</v>
      </c>
      <c r="C248" s="11" t="s">
        <v>55</v>
      </c>
      <c r="D248" s="11" t="s">
        <v>25</v>
      </c>
      <c r="E248" s="125"/>
      <c r="F248" s="125">
        <f>1.025*0.855</f>
        <v>0.8763749999999999</v>
      </c>
      <c r="G248" s="126">
        <f>E10*F248</f>
        <v>275.81274</v>
      </c>
    </row>
    <row r="249" spans="1:7" ht="15">
      <c r="A249" s="10" t="s">
        <v>0</v>
      </c>
      <c r="B249" s="11" t="s">
        <v>0</v>
      </c>
      <c r="C249" s="11" t="s">
        <v>36</v>
      </c>
      <c r="D249" s="11" t="s">
        <v>25</v>
      </c>
      <c r="E249" s="125"/>
      <c r="F249" s="125">
        <f>1.025*0.183</f>
        <v>0.187575</v>
      </c>
      <c r="G249" s="126">
        <f>E10*F249</f>
        <v>59.033604000000004</v>
      </c>
    </row>
    <row r="250" spans="1:7" ht="15">
      <c r="A250" s="10" t="s">
        <v>0</v>
      </c>
      <c r="B250" s="11" t="s">
        <v>0</v>
      </c>
      <c r="C250" s="11" t="s">
        <v>183</v>
      </c>
      <c r="D250" s="11" t="s">
        <v>25</v>
      </c>
      <c r="E250" s="125"/>
      <c r="F250" s="125">
        <f>0.014</f>
        <v>0.014</v>
      </c>
      <c r="G250" s="126">
        <f>E10*F250</f>
        <v>4.40608</v>
      </c>
    </row>
    <row r="251" spans="1:7" ht="15">
      <c r="A251" s="10" t="s">
        <v>0</v>
      </c>
      <c r="B251" s="11" t="s">
        <v>0</v>
      </c>
      <c r="C251" s="11" t="s">
        <v>184</v>
      </c>
      <c r="D251" s="11" t="s">
        <v>33</v>
      </c>
      <c r="E251" s="125"/>
      <c r="F251" s="125">
        <f>3.5</f>
        <v>3.5</v>
      </c>
      <c r="G251" s="126">
        <f>E10*F251</f>
        <v>1101.52</v>
      </c>
    </row>
    <row r="252" spans="1:7" ht="15">
      <c r="A252" s="10" t="s">
        <v>0</v>
      </c>
      <c r="B252" s="11" t="s">
        <v>0</v>
      </c>
      <c r="C252" s="11" t="s">
        <v>37</v>
      </c>
      <c r="D252" s="11" t="s">
        <v>8</v>
      </c>
      <c r="E252" s="125"/>
      <c r="F252" s="125">
        <f>1.37</f>
        <v>1.37</v>
      </c>
      <c r="G252" s="126">
        <f>E10*F252</f>
        <v>431.16640000000007</v>
      </c>
    </row>
    <row r="253" spans="1:7" ht="15">
      <c r="A253" s="10" t="s">
        <v>0</v>
      </c>
      <c r="B253" s="11" t="s">
        <v>0</v>
      </c>
      <c r="C253" s="11" t="s">
        <v>38</v>
      </c>
      <c r="D253" s="11" t="s">
        <v>10</v>
      </c>
      <c r="E253" s="125"/>
      <c r="F253" s="125">
        <f>0.095</f>
        <v>0.095</v>
      </c>
      <c r="G253" s="126">
        <f>E10*F253</f>
        <v>29.898400000000002</v>
      </c>
    </row>
    <row r="254" spans="1:7" ht="15">
      <c r="A254" s="10" t="s">
        <v>0</v>
      </c>
      <c r="B254" s="11" t="s">
        <v>0</v>
      </c>
      <c r="C254" s="11" t="s">
        <v>185</v>
      </c>
      <c r="D254" s="11" t="s">
        <v>10</v>
      </c>
      <c r="E254" s="125"/>
      <c r="F254" s="125">
        <f>0.089</f>
        <v>0.089</v>
      </c>
      <c r="G254" s="126">
        <f>E10*F254</f>
        <v>28.010080000000002</v>
      </c>
    </row>
    <row r="255" spans="1:7" ht="15">
      <c r="A255" s="10" t="s">
        <v>0</v>
      </c>
      <c r="B255" s="11" t="s">
        <v>0</v>
      </c>
      <c r="C255" s="11" t="s">
        <v>39</v>
      </c>
      <c r="D255" s="11" t="s">
        <v>10</v>
      </c>
      <c r="E255" s="125"/>
      <c r="F255" s="125">
        <f>0.089</f>
        <v>0.089</v>
      </c>
      <c r="G255" s="126">
        <f>E10*F255</f>
        <v>28.010080000000002</v>
      </c>
    </row>
    <row r="256" spans="1:7" ht="15">
      <c r="A256" s="10" t="s">
        <v>0</v>
      </c>
      <c r="B256" s="11" t="s">
        <v>0</v>
      </c>
      <c r="C256" s="11" t="s">
        <v>0</v>
      </c>
      <c r="D256" s="11" t="s">
        <v>0</v>
      </c>
      <c r="E256" s="125"/>
      <c r="F256" s="125"/>
      <c r="G256" s="126"/>
    </row>
    <row r="257" spans="1:7" ht="15">
      <c r="A257" s="10" t="s">
        <v>186</v>
      </c>
      <c r="B257" s="11" t="s">
        <v>187</v>
      </c>
      <c r="C257" s="11" t="s">
        <v>188</v>
      </c>
      <c r="D257" s="11" t="s">
        <v>43</v>
      </c>
      <c r="E257" s="125">
        <f>'Du toan chi tiet'!E62</f>
        <v>35.5</v>
      </c>
      <c r="F257" s="125"/>
      <c r="G257" s="126"/>
    </row>
    <row r="258" spans="1:7" ht="15">
      <c r="A258" s="10" t="s">
        <v>0</v>
      </c>
      <c r="B258" s="11" t="s">
        <v>0</v>
      </c>
      <c r="C258" s="11" t="s">
        <v>189</v>
      </c>
      <c r="D258" s="11" t="s">
        <v>190</v>
      </c>
      <c r="E258" s="125"/>
      <c r="F258" s="125">
        <f>1.1</f>
        <v>1.1</v>
      </c>
      <c r="G258" s="126">
        <f>E10*F258</f>
        <v>346.19200000000006</v>
      </c>
    </row>
    <row r="259" spans="1:7" ht="15">
      <c r="A259" s="10" t="s">
        <v>0</v>
      </c>
      <c r="B259" s="11" t="s">
        <v>0</v>
      </c>
      <c r="C259" s="11" t="s">
        <v>37</v>
      </c>
      <c r="D259" s="11" t="s">
        <v>8</v>
      </c>
      <c r="E259" s="125"/>
      <c r="F259" s="125">
        <f>0.0015</f>
        <v>0.0015</v>
      </c>
      <c r="G259" s="126">
        <f>E10*F259</f>
        <v>0.47208000000000006</v>
      </c>
    </row>
    <row r="260" spans="1:7" ht="15">
      <c r="A260" s="10" t="s">
        <v>0</v>
      </c>
      <c r="B260" s="11" t="s">
        <v>0</v>
      </c>
      <c r="C260" s="11" t="s">
        <v>0</v>
      </c>
      <c r="D260" s="11" t="s">
        <v>0</v>
      </c>
      <c r="E260" s="125"/>
      <c r="F260" s="125"/>
      <c r="G260" s="126"/>
    </row>
    <row r="261" spans="1:7" ht="15">
      <c r="A261" s="10" t="s">
        <v>191</v>
      </c>
      <c r="B261" s="11" t="s">
        <v>192</v>
      </c>
      <c r="C261" s="11" t="s">
        <v>193</v>
      </c>
      <c r="D261" s="11" t="s">
        <v>5</v>
      </c>
      <c r="E261" s="125">
        <f>'Du toan chi tiet'!E63</f>
        <v>5.33</v>
      </c>
      <c r="F261" s="125"/>
      <c r="G261" s="126"/>
    </row>
    <row r="262" spans="1:7" ht="15">
      <c r="A262" s="10" t="s">
        <v>0</v>
      </c>
      <c r="B262" s="11" t="s">
        <v>0</v>
      </c>
      <c r="C262" s="11" t="s">
        <v>24</v>
      </c>
      <c r="D262" s="11" t="s">
        <v>25</v>
      </c>
      <c r="E262" s="125"/>
      <c r="F262" s="125">
        <f>1.34</f>
        <v>1.34</v>
      </c>
      <c r="G262" s="126">
        <f>E10*F262</f>
        <v>421.7248000000001</v>
      </c>
    </row>
    <row r="263" spans="1:7" ht="15">
      <c r="A263" s="10" t="s">
        <v>0</v>
      </c>
      <c r="B263" s="11" t="s">
        <v>0</v>
      </c>
      <c r="C263" s="11" t="s">
        <v>70</v>
      </c>
      <c r="D263" s="11" t="s">
        <v>8</v>
      </c>
      <c r="E263" s="125"/>
      <c r="F263" s="125">
        <f>0.0352</f>
        <v>0.0352</v>
      </c>
      <c r="G263" s="126">
        <f>E10*F263</f>
        <v>11.078144000000002</v>
      </c>
    </row>
    <row r="264" spans="1:7" ht="15">
      <c r="A264" s="10" t="s">
        <v>0</v>
      </c>
      <c r="B264" s="11" t="s">
        <v>0</v>
      </c>
      <c r="C264" s="11" t="s">
        <v>194</v>
      </c>
      <c r="D264" s="11" t="s">
        <v>10</v>
      </c>
      <c r="E264" s="125"/>
      <c r="F264" s="125">
        <f>0.0021</f>
        <v>0.0021</v>
      </c>
      <c r="G264" s="126">
        <f>E10*F264</f>
        <v>0.660912</v>
      </c>
    </row>
    <row r="265" spans="1:7" ht="15">
      <c r="A265" s="10" t="s">
        <v>0</v>
      </c>
      <c r="B265" s="11" t="s">
        <v>0</v>
      </c>
      <c r="C265" s="11" t="s">
        <v>195</v>
      </c>
      <c r="D265" s="11" t="s">
        <v>10</v>
      </c>
      <c r="E265" s="125"/>
      <c r="F265" s="125">
        <f>0.0032</f>
        <v>0.0032</v>
      </c>
      <c r="G265" s="126">
        <f>E10*F265</f>
        <v>1.0071040000000002</v>
      </c>
    </row>
    <row r="266" spans="1:7" ht="15">
      <c r="A266" s="10" t="s">
        <v>0</v>
      </c>
      <c r="B266" s="11" t="s">
        <v>0</v>
      </c>
      <c r="C266" s="11" t="s">
        <v>196</v>
      </c>
      <c r="D266" s="11" t="s">
        <v>10</v>
      </c>
      <c r="E266" s="125"/>
      <c r="F266" s="125">
        <f>0.0015</f>
        <v>0.0015</v>
      </c>
      <c r="G266" s="126">
        <f>E10*F266</f>
        <v>0.47208000000000006</v>
      </c>
    </row>
    <row r="267" spans="1:7" ht="15">
      <c r="A267" s="10" t="s">
        <v>0</v>
      </c>
      <c r="B267" s="11" t="s">
        <v>0</v>
      </c>
      <c r="C267" s="11" t="s">
        <v>197</v>
      </c>
      <c r="D267" s="11" t="s">
        <v>10</v>
      </c>
      <c r="E267" s="125"/>
      <c r="F267" s="125">
        <f>0.0026</f>
        <v>0.0026</v>
      </c>
      <c r="G267" s="126">
        <f>E10*F267</f>
        <v>0.818272</v>
      </c>
    </row>
    <row r="268" spans="1:7" ht="15">
      <c r="A268" s="10" t="s">
        <v>0</v>
      </c>
      <c r="B268" s="11" t="s">
        <v>0</v>
      </c>
      <c r="C268" s="11" t="s">
        <v>198</v>
      </c>
      <c r="D268" s="11" t="s">
        <v>10</v>
      </c>
      <c r="E268" s="125"/>
      <c r="F268" s="125">
        <f>0.0021</f>
        <v>0.0021</v>
      </c>
      <c r="G268" s="126">
        <f>E10*F268</f>
        <v>0.660912</v>
      </c>
    </row>
    <row r="269" spans="1:7" ht="15">
      <c r="A269" s="10" t="s">
        <v>0</v>
      </c>
      <c r="B269" s="11" t="s">
        <v>0</v>
      </c>
      <c r="C269" s="11" t="s">
        <v>0</v>
      </c>
      <c r="D269" s="11" t="s">
        <v>0</v>
      </c>
      <c r="E269" s="125"/>
      <c r="F269" s="125"/>
      <c r="G269" s="126"/>
    </row>
    <row r="270" spans="1:7" ht="15">
      <c r="A270" s="10" t="s">
        <v>199</v>
      </c>
      <c r="B270" s="11" t="s">
        <v>200</v>
      </c>
      <c r="C270" s="11" t="s">
        <v>201</v>
      </c>
      <c r="D270" s="11" t="s">
        <v>43</v>
      </c>
      <c r="E270" s="125">
        <f>'Du toan chi tiet'!E64</f>
        <v>5.68</v>
      </c>
      <c r="F270" s="125"/>
      <c r="G270" s="126"/>
    </row>
    <row r="271" spans="1:7" ht="15">
      <c r="A271" s="10" t="s">
        <v>0</v>
      </c>
      <c r="B271" s="11" t="s">
        <v>0</v>
      </c>
      <c r="C271" s="11" t="s">
        <v>202</v>
      </c>
      <c r="D271" s="11" t="s">
        <v>33</v>
      </c>
      <c r="E271" s="125"/>
      <c r="F271" s="125">
        <f>0.315</f>
        <v>0.315</v>
      </c>
      <c r="G271" s="126">
        <f>E10*F271</f>
        <v>99.13680000000001</v>
      </c>
    </row>
    <row r="272" spans="1:7" ht="15">
      <c r="A272" s="10" t="s">
        <v>0</v>
      </c>
      <c r="B272" s="11" t="s">
        <v>0</v>
      </c>
      <c r="C272" s="11" t="s">
        <v>47</v>
      </c>
      <c r="D272" s="11" t="s">
        <v>33</v>
      </c>
      <c r="E272" s="125"/>
      <c r="F272" s="125">
        <f>0.0158</f>
        <v>0.0158</v>
      </c>
      <c r="G272" s="126">
        <f>E10*F272</f>
        <v>4.972576000000001</v>
      </c>
    </row>
    <row r="273" spans="1:7" ht="15">
      <c r="A273" s="10" t="s">
        <v>0</v>
      </c>
      <c r="B273" s="11" t="s">
        <v>0</v>
      </c>
      <c r="C273" s="11" t="s">
        <v>27</v>
      </c>
      <c r="D273" s="11" t="s">
        <v>8</v>
      </c>
      <c r="E273" s="125"/>
      <c r="F273" s="125">
        <f>0.115</f>
        <v>0.115</v>
      </c>
      <c r="G273" s="126">
        <f>E10*F273</f>
        <v>36.192800000000005</v>
      </c>
    </row>
    <row r="274" spans="1:7" ht="15">
      <c r="A274" s="10" t="s">
        <v>0</v>
      </c>
      <c r="B274" s="11" t="s">
        <v>0</v>
      </c>
      <c r="C274" s="11" t="s">
        <v>48</v>
      </c>
      <c r="D274" s="11" t="s">
        <v>10</v>
      </c>
      <c r="E274" s="125"/>
      <c r="F274" s="125">
        <f>0.0042</f>
        <v>0.0042</v>
      </c>
      <c r="G274" s="126">
        <f>E10*F274</f>
        <v>1.321824</v>
      </c>
    </row>
    <row r="275" spans="1:7" ht="15">
      <c r="A275" s="10" t="s">
        <v>0</v>
      </c>
      <c r="B275" s="11" t="s">
        <v>0</v>
      </c>
      <c r="C275" s="11" t="s">
        <v>0</v>
      </c>
      <c r="D275" s="11" t="s">
        <v>0</v>
      </c>
      <c r="E275" s="125"/>
      <c r="F275" s="125"/>
      <c r="G275" s="126"/>
    </row>
    <row r="276" spans="1:7" ht="15">
      <c r="A276" s="10" t="s">
        <v>203</v>
      </c>
      <c r="B276" s="11" t="s">
        <v>204</v>
      </c>
      <c r="C276" s="11" t="s">
        <v>205</v>
      </c>
      <c r="D276" s="11" t="s">
        <v>43</v>
      </c>
      <c r="E276" s="125">
        <f>'Du toan chi tiet'!E65</f>
        <v>149.4</v>
      </c>
      <c r="F276" s="125"/>
      <c r="G276" s="126"/>
    </row>
    <row r="277" spans="1:7" ht="15">
      <c r="A277" s="10" t="s">
        <v>0</v>
      </c>
      <c r="B277" s="11" t="s">
        <v>0</v>
      </c>
      <c r="C277" s="11" t="s">
        <v>206</v>
      </c>
      <c r="D277" s="11" t="s">
        <v>0</v>
      </c>
      <c r="E277" s="125"/>
      <c r="F277" s="125"/>
      <c r="G277" s="126"/>
    </row>
    <row r="278" spans="1:7" ht="15">
      <c r="A278" s="10" t="s">
        <v>0</v>
      </c>
      <c r="B278" s="11" t="s">
        <v>0</v>
      </c>
      <c r="C278" s="11" t="s">
        <v>207</v>
      </c>
      <c r="D278" s="11" t="s">
        <v>190</v>
      </c>
      <c r="E278" s="125"/>
      <c r="F278" s="125">
        <f>1.01</f>
        <v>1.01</v>
      </c>
      <c r="G278" s="126">
        <f>E10*F278</f>
        <v>317.8672</v>
      </c>
    </row>
    <row r="279" spans="1:7" ht="15">
      <c r="A279" s="10" t="s">
        <v>0</v>
      </c>
      <c r="B279" s="11" t="s">
        <v>0</v>
      </c>
      <c r="C279" s="11" t="s">
        <v>208</v>
      </c>
      <c r="D279" s="11" t="s">
        <v>33</v>
      </c>
      <c r="E279" s="125"/>
      <c r="F279" s="125">
        <f>0.026*264</f>
        <v>6.864</v>
      </c>
      <c r="G279" s="126">
        <f>E10*F279</f>
        <v>2160.23808</v>
      </c>
    </row>
    <row r="280" spans="1:7" ht="15">
      <c r="A280" s="10" t="s">
        <v>0</v>
      </c>
      <c r="B280" s="11" t="s">
        <v>0</v>
      </c>
      <c r="C280" s="11" t="s">
        <v>209</v>
      </c>
      <c r="D280" s="11" t="s">
        <v>25</v>
      </c>
      <c r="E280" s="125"/>
      <c r="F280" s="125">
        <f>0.026*1.19</f>
        <v>0.03094</v>
      </c>
      <c r="G280" s="126">
        <f>E10*F280</f>
        <v>9.737436800000001</v>
      </c>
    </row>
    <row r="281" spans="1:7" ht="15">
      <c r="A281" s="10" t="s">
        <v>0</v>
      </c>
      <c r="B281" s="11" t="s">
        <v>0</v>
      </c>
      <c r="C281" s="11" t="s">
        <v>36</v>
      </c>
      <c r="D281" s="11" t="s">
        <v>25</v>
      </c>
      <c r="E281" s="125"/>
      <c r="F281" s="125">
        <f>0.026*0.275</f>
        <v>0.00715</v>
      </c>
      <c r="G281" s="126">
        <f>E10*F281</f>
        <v>2.250248</v>
      </c>
    </row>
    <row r="282" spans="1:7" ht="15">
      <c r="A282" s="10" t="s">
        <v>0</v>
      </c>
      <c r="B282" s="11" t="s">
        <v>0</v>
      </c>
      <c r="C282" s="11" t="s">
        <v>210</v>
      </c>
      <c r="D282" s="11" t="s">
        <v>33</v>
      </c>
      <c r="E282" s="125"/>
      <c r="F282" s="125">
        <f>2</f>
        <v>2</v>
      </c>
      <c r="G282" s="126">
        <f>E10*F282</f>
        <v>629.44</v>
      </c>
    </row>
    <row r="283" spans="1:7" ht="15">
      <c r="A283" s="10" t="s">
        <v>0</v>
      </c>
      <c r="B283" s="11" t="s">
        <v>0</v>
      </c>
      <c r="C283" s="11" t="s">
        <v>27</v>
      </c>
      <c r="D283" s="11" t="s">
        <v>8</v>
      </c>
      <c r="E283" s="125"/>
      <c r="F283" s="125">
        <f>0.145</f>
        <v>0.145</v>
      </c>
      <c r="G283" s="126">
        <f>E10*F283</f>
        <v>45.6344</v>
      </c>
    </row>
    <row r="284" spans="1:7" ht="15">
      <c r="A284" s="10" t="s">
        <v>0</v>
      </c>
      <c r="B284" s="11" t="s">
        <v>0</v>
      </c>
      <c r="C284" s="11" t="s">
        <v>0</v>
      </c>
      <c r="D284" s="11" t="s">
        <v>0</v>
      </c>
      <c r="E284" s="125"/>
      <c r="F284" s="125"/>
      <c r="G284" s="126"/>
    </row>
    <row r="285" spans="1:7" ht="15">
      <c r="A285" s="10" t="s">
        <v>211</v>
      </c>
      <c r="B285" s="11" t="s">
        <v>212</v>
      </c>
      <c r="C285" s="11" t="s">
        <v>213</v>
      </c>
      <c r="D285" s="11" t="s">
        <v>5</v>
      </c>
      <c r="E285" s="125">
        <f>'Du toan chi tiet'!E67</f>
        <v>14.94</v>
      </c>
      <c r="F285" s="125"/>
      <c r="G285" s="126"/>
    </row>
    <row r="286" spans="1:7" ht="15">
      <c r="A286" s="10" t="s">
        <v>0</v>
      </c>
      <c r="B286" s="11" t="s">
        <v>0</v>
      </c>
      <c r="C286" s="11" t="s">
        <v>214</v>
      </c>
      <c r="D286" s="11" t="s">
        <v>0</v>
      </c>
      <c r="E286" s="125"/>
      <c r="F286" s="125"/>
      <c r="G286" s="126"/>
    </row>
    <row r="287" spans="1:7" ht="15">
      <c r="A287" s="10" t="s">
        <v>0</v>
      </c>
      <c r="B287" s="11" t="s">
        <v>0</v>
      </c>
      <c r="C287" s="11" t="s">
        <v>32</v>
      </c>
      <c r="D287" s="11" t="s">
        <v>33</v>
      </c>
      <c r="E287" s="125"/>
      <c r="F287" s="125">
        <f>1.025*205</f>
        <v>210.12499999999997</v>
      </c>
      <c r="G287" s="126">
        <f>E10*F287</f>
        <v>66130.54</v>
      </c>
    </row>
    <row r="288" spans="1:7" ht="15">
      <c r="A288" s="10" t="s">
        <v>0</v>
      </c>
      <c r="B288" s="11" t="s">
        <v>0</v>
      </c>
      <c r="C288" s="11" t="s">
        <v>34</v>
      </c>
      <c r="D288" s="11" t="s">
        <v>25</v>
      </c>
      <c r="E288" s="125"/>
      <c r="F288" s="125">
        <f>1.025*0.549</f>
        <v>0.562725</v>
      </c>
      <c r="G288" s="126">
        <f>E10*F288</f>
        <v>177.10081200000002</v>
      </c>
    </row>
    <row r="289" spans="1:7" ht="15">
      <c r="A289" s="10" t="s">
        <v>0</v>
      </c>
      <c r="B289" s="11" t="s">
        <v>0</v>
      </c>
      <c r="C289" s="11" t="s">
        <v>35</v>
      </c>
      <c r="D289" s="11" t="s">
        <v>25</v>
      </c>
      <c r="E289" s="125"/>
      <c r="F289" s="125">
        <f>1.025*0.89</f>
        <v>0.9122499999999999</v>
      </c>
      <c r="G289" s="126">
        <f>E10*F289</f>
        <v>287.10332</v>
      </c>
    </row>
    <row r="290" spans="1:7" ht="15">
      <c r="A290" s="10" t="s">
        <v>0</v>
      </c>
      <c r="B290" s="11" t="s">
        <v>0</v>
      </c>
      <c r="C290" s="11" t="s">
        <v>36</v>
      </c>
      <c r="D290" s="11" t="s">
        <v>25</v>
      </c>
      <c r="E290" s="125"/>
      <c r="F290" s="125">
        <f>1.025*0.172</f>
        <v>0.17629999999999996</v>
      </c>
      <c r="G290" s="126">
        <f>E10*F290</f>
        <v>55.48513599999999</v>
      </c>
    </row>
    <row r="291" spans="1:7" ht="15">
      <c r="A291" s="10" t="s">
        <v>0</v>
      </c>
      <c r="B291" s="11" t="s">
        <v>0</v>
      </c>
      <c r="C291" s="11" t="s">
        <v>70</v>
      </c>
      <c r="D291" s="11" t="s">
        <v>8</v>
      </c>
      <c r="E291" s="125"/>
      <c r="F291" s="125">
        <f>1.23</f>
        <v>1.23</v>
      </c>
      <c r="G291" s="126">
        <f>E10*F291</f>
        <v>387.10560000000004</v>
      </c>
    </row>
    <row r="292" spans="1:7" ht="15">
      <c r="A292" s="10" t="s">
        <v>0</v>
      </c>
      <c r="B292" s="11" t="s">
        <v>0</v>
      </c>
      <c r="C292" s="11" t="s">
        <v>38</v>
      </c>
      <c r="D292" s="11" t="s">
        <v>10</v>
      </c>
      <c r="E292" s="125"/>
      <c r="F292" s="125">
        <f>0.095</f>
        <v>0.095</v>
      </c>
      <c r="G292" s="126">
        <f>E10*F292</f>
        <v>29.898400000000002</v>
      </c>
    </row>
    <row r="293" spans="1:7" ht="15">
      <c r="A293" s="10" t="s">
        <v>0</v>
      </c>
      <c r="B293" s="11" t="s">
        <v>0</v>
      </c>
      <c r="C293" s="11" t="s">
        <v>39</v>
      </c>
      <c r="D293" s="11" t="s">
        <v>10</v>
      </c>
      <c r="E293" s="125"/>
      <c r="F293" s="125">
        <f>0.089</f>
        <v>0.089</v>
      </c>
      <c r="G293" s="126">
        <f>E10*F293</f>
        <v>28.010080000000002</v>
      </c>
    </row>
    <row r="294" spans="1:7" ht="15">
      <c r="A294" s="10" t="s">
        <v>0</v>
      </c>
      <c r="B294" s="11" t="s">
        <v>0</v>
      </c>
      <c r="C294" s="11" t="s">
        <v>0</v>
      </c>
      <c r="D294" s="11" t="s">
        <v>0</v>
      </c>
      <c r="E294" s="125"/>
      <c r="F294" s="125"/>
      <c r="G294" s="126"/>
    </row>
    <row r="295" spans="1:7" ht="15">
      <c r="A295" s="10" t="s">
        <v>215</v>
      </c>
      <c r="B295" s="11" t="s">
        <v>187</v>
      </c>
      <c r="C295" s="11" t="s">
        <v>188</v>
      </c>
      <c r="D295" s="11" t="s">
        <v>43</v>
      </c>
      <c r="E295" s="125">
        <f>'Du toan chi tiet'!E69</f>
        <v>149.4</v>
      </c>
      <c r="F295" s="125"/>
      <c r="G295" s="126"/>
    </row>
    <row r="296" spans="1:7" ht="15">
      <c r="A296" s="10" t="s">
        <v>0</v>
      </c>
      <c r="B296" s="11" t="s">
        <v>0</v>
      </c>
      <c r="C296" s="11" t="s">
        <v>189</v>
      </c>
      <c r="D296" s="11" t="s">
        <v>190</v>
      </c>
      <c r="E296" s="125"/>
      <c r="F296" s="125">
        <f>1.1</f>
        <v>1.1</v>
      </c>
      <c r="G296" s="126">
        <f>E10*F296</f>
        <v>346.19200000000006</v>
      </c>
    </row>
    <row r="297" spans="1:7" ht="15">
      <c r="A297" s="10" t="s">
        <v>0</v>
      </c>
      <c r="B297" s="11" t="s">
        <v>0</v>
      </c>
      <c r="C297" s="11" t="s">
        <v>37</v>
      </c>
      <c r="D297" s="11" t="s">
        <v>8</v>
      </c>
      <c r="E297" s="125"/>
      <c r="F297" s="125">
        <f>0.0015</f>
        <v>0.0015</v>
      </c>
      <c r="G297" s="126">
        <f>E10*F297</f>
        <v>0.47208000000000006</v>
      </c>
    </row>
    <row r="298" spans="1:7" ht="15">
      <c r="A298" s="10" t="s">
        <v>0</v>
      </c>
      <c r="B298" s="11" t="s">
        <v>0</v>
      </c>
      <c r="C298" s="11" t="s">
        <v>0</v>
      </c>
      <c r="D298" s="11" t="s">
        <v>0</v>
      </c>
      <c r="E298" s="125"/>
      <c r="F298" s="125"/>
      <c r="G298" s="126"/>
    </row>
    <row r="299" spans="1:7" ht="15">
      <c r="A299" s="10" t="s">
        <v>216</v>
      </c>
      <c r="B299" s="11" t="s">
        <v>217</v>
      </c>
      <c r="C299" s="11" t="s">
        <v>218</v>
      </c>
      <c r="D299" s="11" t="s">
        <v>43</v>
      </c>
      <c r="E299" s="125">
        <f>'Du toan chi tiet'!E70</f>
        <v>14.94</v>
      </c>
      <c r="F299" s="125"/>
      <c r="G299" s="126"/>
    </row>
    <row r="300" spans="1:7" ht="15">
      <c r="A300" s="10" t="s">
        <v>0</v>
      </c>
      <c r="B300" s="11" t="s">
        <v>0</v>
      </c>
      <c r="C300" s="11" t="s">
        <v>44</v>
      </c>
      <c r="D300" s="11" t="s">
        <v>33</v>
      </c>
      <c r="E300" s="125"/>
      <c r="F300" s="125">
        <f>0.5181</f>
        <v>0.5181</v>
      </c>
      <c r="G300" s="126">
        <f>E10*F300</f>
        <v>163.05643200000003</v>
      </c>
    </row>
    <row r="301" spans="1:7" ht="15">
      <c r="A301" s="10" t="s">
        <v>0</v>
      </c>
      <c r="B301" s="11" t="s">
        <v>0</v>
      </c>
      <c r="C301" s="11" t="s">
        <v>45</v>
      </c>
      <c r="D301" s="11" t="s">
        <v>33</v>
      </c>
      <c r="E301" s="125"/>
      <c r="F301" s="125">
        <f>0.3202</f>
        <v>0.3202</v>
      </c>
      <c r="G301" s="126">
        <f>E10*F301</f>
        <v>100.77334400000001</v>
      </c>
    </row>
    <row r="302" spans="1:7" ht="15">
      <c r="A302" s="10" t="s">
        <v>0</v>
      </c>
      <c r="B302" s="11" t="s">
        <v>0</v>
      </c>
      <c r="C302" s="11" t="s">
        <v>47</v>
      </c>
      <c r="D302" s="11" t="s">
        <v>33</v>
      </c>
      <c r="E302" s="125"/>
      <c r="F302" s="125">
        <f>0.0326</f>
        <v>0.0326</v>
      </c>
      <c r="G302" s="126">
        <f>E10*F302</f>
        <v>10.259872</v>
      </c>
    </row>
    <row r="303" spans="1:7" ht="15">
      <c r="A303" s="10" t="s">
        <v>0</v>
      </c>
      <c r="B303" s="11" t="s">
        <v>0</v>
      </c>
      <c r="C303" s="11" t="s">
        <v>27</v>
      </c>
      <c r="D303" s="11" t="s">
        <v>8</v>
      </c>
      <c r="E303" s="125"/>
      <c r="F303" s="125">
        <f>0.1225</f>
        <v>0.1225</v>
      </c>
      <c r="G303" s="126">
        <f>E10*F303</f>
        <v>38.553200000000004</v>
      </c>
    </row>
    <row r="304" spans="1:7" ht="15">
      <c r="A304" s="10" t="s">
        <v>0</v>
      </c>
      <c r="B304" s="11" t="s">
        <v>0</v>
      </c>
      <c r="C304" s="11" t="s">
        <v>48</v>
      </c>
      <c r="D304" s="11" t="s">
        <v>10</v>
      </c>
      <c r="E304" s="125"/>
      <c r="F304" s="125">
        <f>0.0082</f>
        <v>0.0082</v>
      </c>
      <c r="G304" s="126">
        <f>E10*F304</f>
        <v>2.5807040000000003</v>
      </c>
    </row>
    <row r="305" spans="1:7" ht="15.75" thickBot="1">
      <c r="A305" s="12" t="s">
        <v>0</v>
      </c>
      <c r="B305" s="13" t="s">
        <v>0</v>
      </c>
      <c r="C305" s="13" t="s">
        <v>0</v>
      </c>
      <c r="D305" s="13" t="s">
        <v>0</v>
      </c>
      <c r="E305" s="127"/>
      <c r="F305" s="127"/>
      <c r="G305" s="128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10"/>
  <sheetViews>
    <sheetView zoomScalePageLayoutView="0" workbookViewId="0" topLeftCell="A1">
      <selection activeCell="I17" sqref="I17"/>
    </sheetView>
  </sheetViews>
  <sheetFormatPr defaultColWidth="8.796875" defaultRowHeight="15"/>
  <cols>
    <col min="3" max="3" width="4.69921875" style="0" customWidth="1"/>
    <col min="4" max="4" width="23" style="0" customWidth="1"/>
    <col min="5" max="7" width="14.69921875" style="0" customWidth="1"/>
    <col min="8" max="8" width="11.19921875" style="0" customWidth="1"/>
  </cols>
  <sheetData>
    <row r="4" spans="3:7" s="170" customFormat="1" ht="33">
      <c r="C4" s="169" t="s">
        <v>572</v>
      </c>
      <c r="D4" s="169" t="s">
        <v>573</v>
      </c>
      <c r="E4" s="169" t="s">
        <v>574</v>
      </c>
      <c r="F4" s="169" t="s">
        <v>575</v>
      </c>
      <c r="G4" s="169" t="s">
        <v>576</v>
      </c>
    </row>
    <row r="5" spans="3:7" s="170" customFormat="1" ht="16.5">
      <c r="C5" s="171">
        <v>1</v>
      </c>
      <c r="D5" s="172" t="s">
        <v>577</v>
      </c>
      <c r="E5" s="173">
        <v>963665000</v>
      </c>
      <c r="F5" s="173">
        <f>'Tong du toan'!F12</f>
        <v>953383000</v>
      </c>
      <c r="G5" s="173">
        <f>F5-E5</f>
        <v>-10282000</v>
      </c>
    </row>
    <row r="6" spans="3:7" s="170" customFormat="1" ht="16.5">
      <c r="C6" s="171">
        <v>2</v>
      </c>
      <c r="D6" s="172" t="s">
        <v>578</v>
      </c>
      <c r="E6" s="173">
        <v>25414000</v>
      </c>
      <c r="F6" s="173">
        <f>'Tong du toan'!F15</f>
        <v>25143000</v>
      </c>
      <c r="G6" s="173">
        <f>F6-E6</f>
        <v>-271000</v>
      </c>
    </row>
    <row r="7" spans="3:7" s="170" customFormat="1" ht="16.5">
      <c r="C7" s="171">
        <v>3</v>
      </c>
      <c r="D7" s="172" t="s">
        <v>579</v>
      </c>
      <c r="E7" s="173">
        <v>105318000</v>
      </c>
      <c r="F7" s="173">
        <f>'Tong du toan'!F17</f>
        <v>100278000</v>
      </c>
      <c r="G7" s="173">
        <f>F7-E7</f>
        <v>-5040000</v>
      </c>
    </row>
    <row r="8" spans="3:7" s="170" customFormat="1" ht="16.5">
      <c r="C8" s="171">
        <v>4</v>
      </c>
      <c r="D8" s="172" t="s">
        <v>580</v>
      </c>
      <c r="E8" s="173">
        <v>10714000</v>
      </c>
      <c r="F8" s="173">
        <f>'Tong du toan'!F23</f>
        <v>6687000</v>
      </c>
      <c r="G8" s="173">
        <f>F8-E8</f>
        <v>-4027000</v>
      </c>
    </row>
    <row r="9" spans="3:7" s="170" customFormat="1" ht="16.5">
      <c r="C9" s="171">
        <v>5</v>
      </c>
      <c r="D9" s="172" t="s">
        <v>581</v>
      </c>
      <c r="E9" s="173">
        <v>46889000</v>
      </c>
      <c r="F9" s="173">
        <f>'Tong du toan'!F26</f>
        <v>66509000</v>
      </c>
      <c r="G9" s="173">
        <f>F9-E9</f>
        <v>19620000</v>
      </c>
    </row>
    <row r="10" spans="3:7" s="170" customFormat="1" ht="16.5">
      <c r="C10" s="172"/>
      <c r="D10" s="174" t="s">
        <v>582</v>
      </c>
      <c r="E10" s="176">
        <f>SUM(E5:E9)</f>
        <v>1152000000</v>
      </c>
      <c r="F10" s="175">
        <f>SUM(F5:F9)</f>
        <v>1152000000</v>
      </c>
      <c r="G10" s="175">
        <f>SUM(G5:G9)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A3" sqref="A3:I3"/>
    </sheetView>
  </sheetViews>
  <sheetFormatPr defaultColWidth="8.796875" defaultRowHeight="15"/>
  <cols>
    <col min="1" max="1" width="5.09765625" style="360" customWidth="1"/>
    <col min="2" max="2" width="42.59765625" style="360" customWidth="1"/>
    <col min="3" max="3" width="12.3984375" style="360" customWidth="1"/>
    <col min="4" max="4" width="12.09765625" style="397" customWidth="1"/>
    <col min="5" max="5" width="17" style="398" customWidth="1"/>
    <col min="6" max="6" width="10.8984375" style="398" customWidth="1"/>
    <col min="7" max="7" width="13.19921875" style="398" bestFit="1" customWidth="1"/>
    <col min="8" max="8" width="10.69921875" style="399" customWidth="1"/>
    <col min="9" max="9" width="11.09765625" style="399" customWidth="1"/>
    <col min="10" max="16384" width="9" style="360" customWidth="1"/>
  </cols>
  <sheetData>
    <row r="1" spans="1:256" ht="18.75">
      <c r="A1" s="406" t="s">
        <v>642</v>
      </c>
      <c r="B1" s="406"/>
      <c r="C1" s="406"/>
      <c r="D1" s="406"/>
      <c r="E1" s="406"/>
      <c r="F1" s="406"/>
      <c r="G1" s="406"/>
      <c r="H1" s="406"/>
      <c r="I1" s="406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  <c r="FK1" s="359"/>
      <c r="FL1" s="359"/>
      <c r="FM1" s="359"/>
      <c r="FN1" s="359"/>
      <c r="FO1" s="359"/>
      <c r="FP1" s="359"/>
      <c r="FQ1" s="359"/>
      <c r="FR1" s="359"/>
      <c r="FS1" s="359"/>
      <c r="FT1" s="359"/>
      <c r="FU1" s="359"/>
      <c r="FV1" s="359"/>
      <c r="FW1" s="359"/>
      <c r="FX1" s="359"/>
      <c r="FY1" s="359"/>
      <c r="FZ1" s="359"/>
      <c r="GA1" s="359"/>
      <c r="GB1" s="359"/>
      <c r="GC1" s="359"/>
      <c r="GD1" s="359"/>
      <c r="GE1" s="359"/>
      <c r="GF1" s="359"/>
      <c r="GG1" s="359"/>
      <c r="GH1" s="359"/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59"/>
      <c r="IF1" s="359"/>
      <c r="IG1" s="359"/>
      <c r="IH1" s="359"/>
      <c r="II1" s="359"/>
      <c r="IJ1" s="359"/>
      <c r="IK1" s="359"/>
      <c r="IL1" s="359"/>
      <c r="IM1" s="359"/>
      <c r="IN1" s="359"/>
      <c r="IO1" s="359"/>
      <c r="IP1" s="359"/>
      <c r="IQ1" s="359"/>
      <c r="IR1" s="359"/>
      <c r="IS1" s="359"/>
      <c r="IT1" s="359"/>
      <c r="IU1" s="359"/>
      <c r="IV1" s="359"/>
    </row>
    <row r="2" spans="1:256" ht="18.75">
      <c r="A2" s="407" t="str">
        <f>+'Tong du toan'!A7:F7</f>
        <v>C«ng tr×nh: HÖ THèNG THO¸T N­íc ®­êng ng« tÊt tè - ph­êng h­¬ng v¨n</v>
      </c>
      <c r="B2" s="407"/>
      <c r="C2" s="407"/>
      <c r="D2" s="407"/>
      <c r="E2" s="407"/>
      <c r="F2" s="407"/>
      <c r="G2" s="407"/>
      <c r="H2" s="407"/>
      <c r="I2" s="407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  <c r="DA2" s="361"/>
      <c r="DB2" s="361"/>
      <c r="DC2" s="361"/>
      <c r="DD2" s="361"/>
      <c r="DE2" s="361"/>
      <c r="DF2" s="361"/>
      <c r="DG2" s="361"/>
      <c r="DH2" s="361"/>
      <c r="DI2" s="361"/>
      <c r="DJ2" s="361"/>
      <c r="DK2" s="361"/>
      <c r="DL2" s="361"/>
      <c r="DM2" s="361"/>
      <c r="DN2" s="361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G2" s="361"/>
      <c r="EH2" s="361"/>
      <c r="EI2" s="361"/>
      <c r="EJ2" s="361"/>
      <c r="EK2" s="361"/>
      <c r="EL2" s="361"/>
      <c r="EM2" s="361"/>
      <c r="EN2" s="361"/>
      <c r="EO2" s="361"/>
      <c r="EP2" s="361"/>
      <c r="EQ2" s="361"/>
      <c r="ER2" s="361"/>
      <c r="ES2" s="361"/>
      <c r="ET2" s="361"/>
      <c r="EU2" s="361"/>
      <c r="EV2" s="361"/>
      <c r="EW2" s="361"/>
      <c r="EX2" s="361"/>
      <c r="EY2" s="361"/>
      <c r="EZ2" s="361"/>
      <c r="FA2" s="361"/>
      <c r="FB2" s="361"/>
      <c r="FC2" s="361"/>
      <c r="FD2" s="361"/>
      <c r="FE2" s="361"/>
      <c r="FF2" s="361"/>
      <c r="FG2" s="361"/>
      <c r="FH2" s="361"/>
      <c r="FI2" s="361"/>
      <c r="FJ2" s="361"/>
      <c r="FK2" s="361"/>
      <c r="FL2" s="361"/>
      <c r="FM2" s="361"/>
      <c r="FN2" s="361"/>
      <c r="FO2" s="361"/>
      <c r="FP2" s="361"/>
      <c r="FQ2" s="361"/>
      <c r="FR2" s="361"/>
      <c r="FS2" s="361"/>
      <c r="FT2" s="361"/>
      <c r="FU2" s="361"/>
      <c r="FV2" s="361"/>
      <c r="FW2" s="361"/>
      <c r="FX2" s="361"/>
      <c r="FY2" s="361"/>
      <c r="FZ2" s="361"/>
      <c r="GA2" s="361"/>
      <c r="GB2" s="361"/>
      <c r="GC2" s="361"/>
      <c r="GD2" s="361"/>
      <c r="GE2" s="361"/>
      <c r="GF2" s="361"/>
      <c r="GG2" s="361"/>
      <c r="GH2" s="361"/>
      <c r="GI2" s="361"/>
      <c r="GJ2" s="361"/>
      <c r="GK2" s="361"/>
      <c r="GL2" s="361"/>
      <c r="GM2" s="361"/>
      <c r="GN2" s="361"/>
      <c r="GO2" s="361"/>
      <c r="GP2" s="361"/>
      <c r="GQ2" s="361"/>
      <c r="GR2" s="361"/>
      <c r="GS2" s="361"/>
      <c r="GT2" s="361"/>
      <c r="GU2" s="361"/>
      <c r="GV2" s="361"/>
      <c r="GW2" s="361"/>
      <c r="GX2" s="361"/>
      <c r="GY2" s="361"/>
      <c r="GZ2" s="361"/>
      <c r="HA2" s="361"/>
      <c r="HB2" s="361"/>
      <c r="HC2" s="361"/>
      <c r="HD2" s="361"/>
      <c r="HE2" s="361"/>
      <c r="HF2" s="361"/>
      <c r="HG2" s="361"/>
      <c r="HH2" s="361"/>
      <c r="HI2" s="361"/>
      <c r="HJ2" s="361"/>
      <c r="HK2" s="361"/>
      <c r="HL2" s="361"/>
      <c r="HM2" s="361"/>
      <c r="HN2" s="361"/>
      <c r="HO2" s="361"/>
      <c r="HP2" s="361"/>
      <c r="HQ2" s="361"/>
      <c r="HR2" s="361"/>
      <c r="HS2" s="361"/>
      <c r="HT2" s="361"/>
      <c r="HU2" s="361"/>
      <c r="HV2" s="361"/>
      <c r="HW2" s="361"/>
      <c r="HX2" s="361"/>
      <c r="HY2" s="361"/>
      <c r="HZ2" s="361"/>
      <c r="IA2" s="361"/>
      <c r="IB2" s="361"/>
      <c r="IC2" s="361"/>
      <c r="ID2" s="361"/>
      <c r="IE2" s="361"/>
      <c r="IF2" s="361"/>
      <c r="IG2" s="361"/>
      <c r="IH2" s="361"/>
      <c r="II2" s="361"/>
      <c r="IJ2" s="361"/>
      <c r="IK2" s="361"/>
      <c r="IL2" s="361"/>
      <c r="IM2" s="361"/>
      <c r="IN2" s="361"/>
      <c r="IO2" s="361"/>
      <c r="IP2" s="361"/>
      <c r="IQ2" s="361"/>
      <c r="IR2" s="361"/>
      <c r="IS2" s="361"/>
      <c r="IT2" s="361"/>
      <c r="IU2" s="361"/>
      <c r="IV2" s="361"/>
    </row>
    <row r="3" spans="1:256" ht="18.75">
      <c r="A3" s="408" t="s">
        <v>676</v>
      </c>
      <c r="B3" s="408"/>
      <c r="C3" s="408"/>
      <c r="D3" s="408"/>
      <c r="E3" s="408"/>
      <c r="F3" s="408"/>
      <c r="G3" s="408"/>
      <c r="H3" s="408"/>
      <c r="I3" s="408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1"/>
      <c r="FQ3" s="361"/>
      <c r="FR3" s="361"/>
      <c r="FS3" s="361"/>
      <c r="FT3" s="361"/>
      <c r="FU3" s="361"/>
      <c r="FV3" s="361"/>
      <c r="FW3" s="361"/>
      <c r="FX3" s="361"/>
      <c r="FY3" s="361"/>
      <c r="FZ3" s="361"/>
      <c r="GA3" s="361"/>
      <c r="GB3" s="361"/>
      <c r="GC3" s="361"/>
      <c r="GD3" s="361"/>
      <c r="GE3" s="361"/>
      <c r="GF3" s="361"/>
      <c r="GG3" s="361"/>
      <c r="GH3" s="361"/>
      <c r="GI3" s="361"/>
      <c r="GJ3" s="361"/>
      <c r="GK3" s="361"/>
      <c r="GL3" s="361"/>
      <c r="GM3" s="361"/>
      <c r="GN3" s="361"/>
      <c r="GO3" s="361"/>
      <c r="GP3" s="361"/>
      <c r="GQ3" s="361"/>
      <c r="GR3" s="361"/>
      <c r="GS3" s="361"/>
      <c r="GT3" s="361"/>
      <c r="GU3" s="361"/>
      <c r="GV3" s="361"/>
      <c r="GW3" s="361"/>
      <c r="GX3" s="361"/>
      <c r="GY3" s="361"/>
      <c r="GZ3" s="361"/>
      <c r="HA3" s="361"/>
      <c r="HB3" s="361"/>
      <c r="HC3" s="361"/>
      <c r="HD3" s="361"/>
      <c r="HE3" s="361"/>
      <c r="HF3" s="361"/>
      <c r="HG3" s="361"/>
      <c r="HH3" s="361"/>
      <c r="HI3" s="361"/>
      <c r="HJ3" s="361"/>
      <c r="HK3" s="361"/>
      <c r="HL3" s="361"/>
      <c r="HM3" s="361"/>
      <c r="HN3" s="361"/>
      <c r="HO3" s="361"/>
      <c r="HP3" s="361"/>
      <c r="HQ3" s="361"/>
      <c r="HR3" s="361"/>
      <c r="HS3" s="361"/>
      <c r="HT3" s="361"/>
      <c r="HU3" s="361"/>
      <c r="HV3" s="361"/>
      <c r="HW3" s="361"/>
      <c r="HX3" s="361"/>
      <c r="HY3" s="361"/>
      <c r="HZ3" s="361"/>
      <c r="IA3" s="361"/>
      <c r="IB3" s="361"/>
      <c r="IC3" s="361"/>
      <c r="ID3" s="361"/>
      <c r="IE3" s="361"/>
      <c r="IF3" s="361"/>
      <c r="IG3" s="361"/>
      <c r="IH3" s="361"/>
      <c r="II3" s="361"/>
      <c r="IJ3" s="361"/>
      <c r="IK3" s="361"/>
      <c r="IL3" s="361"/>
      <c r="IM3" s="361"/>
      <c r="IN3" s="361"/>
      <c r="IO3" s="361"/>
      <c r="IP3" s="361"/>
      <c r="IQ3" s="361"/>
      <c r="IR3" s="361"/>
      <c r="IS3" s="361"/>
      <c r="IT3" s="361"/>
      <c r="IU3" s="361"/>
      <c r="IV3" s="361"/>
    </row>
    <row r="4" spans="1:9" ht="15">
      <c r="A4" s="362"/>
      <c r="B4" s="362"/>
      <c r="C4" s="362"/>
      <c r="D4" s="363"/>
      <c r="E4" s="364"/>
      <c r="F4" s="364"/>
      <c r="G4" s="364"/>
      <c r="H4" s="365"/>
      <c r="I4" s="365"/>
    </row>
    <row r="5" spans="1:256" ht="93.75">
      <c r="A5" s="366" t="s">
        <v>644</v>
      </c>
      <c r="B5" s="366" t="s">
        <v>645</v>
      </c>
      <c r="C5" s="366" t="s">
        <v>646</v>
      </c>
      <c r="D5" s="366" t="s">
        <v>647</v>
      </c>
      <c r="E5" s="366" t="s">
        <v>648</v>
      </c>
      <c r="F5" s="366" t="s">
        <v>649</v>
      </c>
      <c r="G5" s="366" t="s">
        <v>650</v>
      </c>
      <c r="H5" s="366" t="s">
        <v>651</v>
      </c>
      <c r="I5" s="366" t="s">
        <v>652</v>
      </c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  <c r="ET5" s="359"/>
      <c r="EU5" s="359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9"/>
      <c r="FN5" s="359"/>
      <c r="FO5" s="359"/>
      <c r="FP5" s="359"/>
      <c r="FQ5" s="359"/>
      <c r="FR5" s="359"/>
      <c r="FS5" s="359"/>
      <c r="FT5" s="359"/>
      <c r="FU5" s="359"/>
      <c r="FV5" s="359"/>
      <c r="FW5" s="359"/>
      <c r="FX5" s="359"/>
      <c r="FY5" s="359"/>
      <c r="FZ5" s="359"/>
      <c r="GA5" s="359"/>
      <c r="GB5" s="359"/>
      <c r="GC5" s="359"/>
      <c r="GD5" s="359"/>
      <c r="GE5" s="359"/>
      <c r="GF5" s="359"/>
      <c r="GG5" s="359"/>
      <c r="GH5" s="359"/>
      <c r="GI5" s="359"/>
      <c r="GJ5" s="359"/>
      <c r="GK5" s="359"/>
      <c r="GL5" s="359"/>
      <c r="GM5" s="359"/>
      <c r="GN5" s="359"/>
      <c r="GO5" s="359"/>
      <c r="GP5" s="359"/>
      <c r="GQ5" s="359"/>
      <c r="GR5" s="359"/>
      <c r="GS5" s="359"/>
      <c r="GT5" s="359"/>
      <c r="GU5" s="359"/>
      <c r="GV5" s="359"/>
      <c r="GW5" s="359"/>
      <c r="GX5" s="359"/>
      <c r="GY5" s="359"/>
      <c r="GZ5" s="359"/>
      <c r="HA5" s="359"/>
      <c r="HB5" s="359"/>
      <c r="HC5" s="359"/>
      <c r="HD5" s="359"/>
      <c r="HE5" s="359"/>
      <c r="HF5" s="359"/>
      <c r="HG5" s="359"/>
      <c r="HH5" s="359"/>
      <c r="HI5" s="359"/>
      <c r="HJ5" s="359"/>
      <c r="HK5" s="359"/>
      <c r="HL5" s="359"/>
      <c r="HM5" s="359"/>
      <c r="HN5" s="359"/>
      <c r="HO5" s="359"/>
      <c r="HP5" s="359"/>
      <c r="HQ5" s="359"/>
      <c r="HR5" s="359"/>
      <c r="HS5" s="359"/>
      <c r="HT5" s="359"/>
      <c r="HU5" s="359"/>
      <c r="HV5" s="359"/>
      <c r="HW5" s="359"/>
      <c r="HX5" s="359"/>
      <c r="HY5" s="359"/>
      <c r="HZ5" s="359"/>
      <c r="IA5" s="359"/>
      <c r="IB5" s="359"/>
      <c r="IC5" s="359"/>
      <c r="ID5" s="359"/>
      <c r="IE5" s="359"/>
      <c r="IF5" s="359"/>
      <c r="IG5" s="359"/>
      <c r="IH5" s="359"/>
      <c r="II5" s="359"/>
      <c r="IJ5" s="359"/>
      <c r="IK5" s="359"/>
      <c r="IL5" s="359"/>
      <c r="IM5" s="359"/>
      <c r="IN5" s="359"/>
      <c r="IO5" s="359"/>
      <c r="IP5" s="359"/>
      <c r="IQ5" s="359"/>
      <c r="IR5" s="359"/>
      <c r="IS5" s="359"/>
      <c r="IT5" s="359"/>
      <c r="IU5" s="359"/>
      <c r="IV5" s="359"/>
    </row>
    <row r="6" spans="1:9" ht="18.75">
      <c r="A6" s="367" t="s">
        <v>653</v>
      </c>
      <c r="B6" s="368" t="s">
        <v>654</v>
      </c>
      <c r="C6" s="369">
        <f>+SUM(C7:C8)</f>
        <v>75814</v>
      </c>
      <c r="D6" s="409" t="s">
        <v>673</v>
      </c>
      <c r="E6" s="370"/>
      <c r="F6" s="370"/>
      <c r="G6" s="370"/>
      <c r="H6" s="371"/>
      <c r="I6" s="371"/>
    </row>
    <row r="7" spans="1:9" ht="37.5">
      <c r="A7" s="372" t="s">
        <v>2</v>
      </c>
      <c r="B7" s="373" t="s">
        <v>655</v>
      </c>
      <c r="C7" s="374">
        <f>+'Tong du toan'!M13/1000</f>
        <v>71494</v>
      </c>
      <c r="D7" s="410"/>
      <c r="E7" s="375"/>
      <c r="F7" s="375"/>
      <c r="G7" s="376" t="s">
        <v>656</v>
      </c>
      <c r="H7" s="377"/>
      <c r="I7" s="377"/>
    </row>
    <row r="8" spans="1:9" ht="37.5">
      <c r="A8" s="372">
        <v>2</v>
      </c>
      <c r="B8" s="373" t="s">
        <v>657</v>
      </c>
      <c r="C8" s="374">
        <f>+'Tong du toan'!M14/1000</f>
        <v>4320</v>
      </c>
      <c r="D8" s="410"/>
      <c r="E8" s="375"/>
      <c r="F8" s="375"/>
      <c r="G8" s="376" t="s">
        <v>656</v>
      </c>
      <c r="H8" s="377"/>
      <c r="I8" s="377"/>
    </row>
    <row r="9" spans="1:256" ht="37.5">
      <c r="A9" s="367" t="s">
        <v>658</v>
      </c>
      <c r="B9" s="378" t="s">
        <v>659</v>
      </c>
      <c r="C9" s="369">
        <f>+SUM(C10:C11)</f>
        <v>977847</v>
      </c>
      <c r="D9" s="410"/>
      <c r="E9" s="370"/>
      <c r="F9" s="370"/>
      <c r="G9" s="370"/>
      <c r="H9" s="371"/>
      <c r="I9" s="371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362"/>
      <c r="EE9" s="362"/>
      <c r="EF9" s="362"/>
      <c r="EG9" s="362"/>
      <c r="EH9" s="362"/>
      <c r="EI9" s="362"/>
      <c r="EJ9" s="362"/>
      <c r="EK9" s="362"/>
      <c r="EL9" s="362"/>
      <c r="EM9" s="362"/>
      <c r="EN9" s="362"/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2"/>
      <c r="FS9" s="362"/>
      <c r="FT9" s="362"/>
      <c r="FU9" s="362"/>
      <c r="FV9" s="362"/>
      <c r="FW9" s="362"/>
      <c r="FX9" s="362"/>
      <c r="FY9" s="362"/>
      <c r="FZ9" s="362"/>
      <c r="GA9" s="362"/>
      <c r="GB9" s="362"/>
      <c r="GC9" s="362"/>
      <c r="GD9" s="362"/>
      <c r="GE9" s="362"/>
      <c r="GF9" s="362"/>
      <c r="GG9" s="362"/>
      <c r="GH9" s="362"/>
      <c r="GI9" s="362"/>
      <c r="GJ9" s="362"/>
      <c r="GK9" s="362"/>
      <c r="GL9" s="362"/>
      <c r="GM9" s="362"/>
      <c r="GN9" s="362"/>
      <c r="GO9" s="362"/>
      <c r="GP9" s="362"/>
      <c r="GQ9" s="362"/>
      <c r="GR9" s="362"/>
      <c r="GS9" s="362"/>
      <c r="GT9" s="362"/>
      <c r="GU9" s="362"/>
      <c r="GV9" s="362"/>
      <c r="GW9" s="362"/>
      <c r="GX9" s="362"/>
      <c r="GY9" s="362"/>
      <c r="GZ9" s="362"/>
      <c r="HA9" s="362"/>
      <c r="HB9" s="362"/>
      <c r="HC9" s="362"/>
      <c r="HD9" s="362"/>
      <c r="HE9" s="362"/>
      <c r="HF9" s="362"/>
      <c r="HG9" s="362"/>
      <c r="HH9" s="362"/>
      <c r="HI9" s="362"/>
      <c r="HJ9" s="362"/>
      <c r="HK9" s="362"/>
      <c r="HL9" s="362"/>
      <c r="HM9" s="362"/>
      <c r="HN9" s="362"/>
      <c r="HO9" s="362"/>
      <c r="HP9" s="362"/>
      <c r="HQ9" s="362"/>
      <c r="HR9" s="362"/>
      <c r="HS9" s="362"/>
      <c r="HT9" s="362"/>
      <c r="HU9" s="362"/>
      <c r="HV9" s="362"/>
      <c r="HW9" s="362"/>
      <c r="HX9" s="362"/>
      <c r="HY9" s="362"/>
      <c r="HZ9" s="362"/>
      <c r="IA9" s="362"/>
      <c r="IB9" s="362"/>
      <c r="IC9" s="362"/>
      <c r="ID9" s="362"/>
      <c r="IE9" s="362"/>
      <c r="IF9" s="362"/>
      <c r="IG9" s="362"/>
      <c r="IH9" s="362"/>
      <c r="II9" s="362"/>
      <c r="IJ9" s="362"/>
      <c r="IK9" s="362"/>
      <c r="IL9" s="362"/>
      <c r="IM9" s="362"/>
      <c r="IN9" s="362"/>
      <c r="IO9" s="362"/>
      <c r="IP9" s="362"/>
      <c r="IQ9" s="362"/>
      <c r="IR9" s="362"/>
      <c r="IS9" s="362"/>
      <c r="IT9" s="362"/>
      <c r="IU9" s="362"/>
      <c r="IV9" s="362"/>
    </row>
    <row r="10" spans="1:256" ht="18.75">
      <c r="A10" s="372">
        <v>1</v>
      </c>
      <c r="B10" s="373" t="s">
        <v>660</v>
      </c>
      <c r="C10" s="374">
        <f>+'Tong du toan'!M15/1000</f>
        <v>953383</v>
      </c>
      <c r="D10" s="410"/>
      <c r="E10" s="379" t="s">
        <v>661</v>
      </c>
      <c r="F10" s="380"/>
      <c r="G10" s="379" t="s">
        <v>662</v>
      </c>
      <c r="H10" s="381" t="s">
        <v>663</v>
      </c>
      <c r="I10" s="381" t="s">
        <v>664</v>
      </c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2"/>
      <c r="EI10" s="382"/>
      <c r="EJ10" s="382"/>
      <c r="EK10" s="382"/>
      <c r="EL10" s="382"/>
      <c r="EM10" s="382"/>
      <c r="EN10" s="382"/>
      <c r="EO10" s="382"/>
      <c r="EP10" s="382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2"/>
      <c r="FF10" s="382"/>
      <c r="FG10" s="382"/>
      <c r="FH10" s="382"/>
      <c r="FI10" s="382"/>
      <c r="FJ10" s="382"/>
      <c r="FK10" s="382"/>
      <c r="FL10" s="382"/>
      <c r="FM10" s="382"/>
      <c r="FN10" s="382"/>
      <c r="FO10" s="382"/>
      <c r="FP10" s="382"/>
      <c r="FQ10" s="382"/>
      <c r="FR10" s="382"/>
      <c r="FS10" s="382"/>
      <c r="FT10" s="382"/>
      <c r="FU10" s="382"/>
      <c r="FV10" s="382"/>
      <c r="FW10" s="382"/>
      <c r="FX10" s="382"/>
      <c r="FY10" s="382"/>
      <c r="FZ10" s="382"/>
      <c r="GA10" s="382"/>
      <c r="GB10" s="382"/>
      <c r="GC10" s="382"/>
      <c r="GD10" s="382"/>
      <c r="GE10" s="382"/>
      <c r="GF10" s="382"/>
      <c r="GG10" s="382"/>
      <c r="GH10" s="382"/>
      <c r="GI10" s="382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382"/>
      <c r="HF10" s="382"/>
      <c r="HG10" s="382"/>
      <c r="HH10" s="382"/>
      <c r="HI10" s="382"/>
      <c r="HJ10" s="382"/>
      <c r="HK10" s="382"/>
      <c r="HL10" s="382"/>
      <c r="HM10" s="382"/>
      <c r="HN10" s="382"/>
      <c r="HO10" s="382"/>
      <c r="HP10" s="382"/>
      <c r="HQ10" s="382"/>
      <c r="HR10" s="382"/>
      <c r="HS10" s="382"/>
      <c r="HT10" s="382"/>
      <c r="HU10" s="382"/>
      <c r="HV10" s="382"/>
      <c r="HW10" s="382"/>
      <c r="HX10" s="382"/>
      <c r="HY10" s="382"/>
      <c r="HZ10" s="382"/>
      <c r="IA10" s="382"/>
      <c r="IB10" s="382"/>
      <c r="IC10" s="382"/>
      <c r="ID10" s="382"/>
      <c r="IE10" s="382"/>
      <c r="IF10" s="382"/>
      <c r="IG10" s="382"/>
      <c r="IH10" s="382"/>
      <c r="II10" s="382"/>
      <c r="IJ10" s="382"/>
      <c r="IK10" s="382"/>
      <c r="IL10" s="382"/>
      <c r="IM10" s="382"/>
      <c r="IN10" s="382"/>
      <c r="IO10" s="382"/>
      <c r="IP10" s="382"/>
      <c r="IQ10" s="382"/>
      <c r="IR10" s="382"/>
      <c r="IS10" s="382"/>
      <c r="IT10" s="382"/>
      <c r="IU10" s="382"/>
      <c r="IV10" s="382"/>
    </row>
    <row r="11" spans="1:256" ht="18.75">
      <c r="A11" s="372">
        <v>2</v>
      </c>
      <c r="B11" s="373" t="s">
        <v>665</v>
      </c>
      <c r="C11" s="374">
        <f>+'Tong du toan'!M16/1000</f>
        <v>24464</v>
      </c>
      <c r="D11" s="410"/>
      <c r="E11" s="379" t="s">
        <v>661</v>
      </c>
      <c r="F11" s="380"/>
      <c r="G11" s="379" t="s">
        <v>662</v>
      </c>
      <c r="H11" s="381" t="s">
        <v>663</v>
      </c>
      <c r="I11" s="381" t="s">
        <v>664</v>
      </c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382"/>
      <c r="EF11" s="382"/>
      <c r="EG11" s="382"/>
      <c r="EH11" s="382"/>
      <c r="EI11" s="382"/>
      <c r="EJ11" s="382"/>
      <c r="EK11" s="382"/>
      <c r="EL11" s="382"/>
      <c r="EM11" s="382"/>
      <c r="EN11" s="382"/>
      <c r="EO11" s="382"/>
      <c r="EP11" s="382"/>
      <c r="EQ11" s="382"/>
      <c r="ER11" s="382"/>
      <c r="ES11" s="382"/>
      <c r="ET11" s="382"/>
      <c r="EU11" s="382"/>
      <c r="EV11" s="382"/>
      <c r="EW11" s="382"/>
      <c r="EX11" s="382"/>
      <c r="EY11" s="382"/>
      <c r="EZ11" s="382"/>
      <c r="FA11" s="382"/>
      <c r="FB11" s="382"/>
      <c r="FC11" s="382"/>
      <c r="FD11" s="382"/>
      <c r="FE11" s="382"/>
      <c r="FF11" s="382"/>
      <c r="FG11" s="382"/>
      <c r="FH11" s="382"/>
      <c r="FI11" s="382"/>
      <c r="FJ11" s="382"/>
      <c r="FK11" s="382"/>
      <c r="FL11" s="382"/>
      <c r="FM11" s="382"/>
      <c r="FN11" s="382"/>
      <c r="FO11" s="382"/>
      <c r="FP11" s="382"/>
      <c r="FQ11" s="382"/>
      <c r="FR11" s="382"/>
      <c r="FS11" s="382"/>
      <c r="FT11" s="382"/>
      <c r="FU11" s="382"/>
      <c r="FV11" s="382"/>
      <c r="FW11" s="382"/>
      <c r="FX11" s="382"/>
      <c r="FY11" s="382"/>
      <c r="FZ11" s="382"/>
      <c r="GA11" s="382"/>
      <c r="GB11" s="382"/>
      <c r="GC11" s="382"/>
      <c r="GD11" s="382"/>
      <c r="GE11" s="382"/>
      <c r="GF11" s="382"/>
      <c r="GG11" s="382"/>
      <c r="GH11" s="382"/>
      <c r="GI11" s="382"/>
      <c r="GJ11" s="382"/>
      <c r="GK11" s="382"/>
      <c r="GL11" s="382"/>
      <c r="GM11" s="382"/>
      <c r="GN11" s="382"/>
      <c r="GO11" s="382"/>
      <c r="GP11" s="382"/>
      <c r="GQ11" s="382"/>
      <c r="GR11" s="382"/>
      <c r="GS11" s="382"/>
      <c r="GT11" s="382"/>
      <c r="GU11" s="382"/>
      <c r="GV11" s="382"/>
      <c r="GW11" s="382"/>
      <c r="GX11" s="382"/>
      <c r="GY11" s="382"/>
      <c r="GZ11" s="382"/>
      <c r="HA11" s="382"/>
      <c r="HB11" s="382"/>
      <c r="HC11" s="382"/>
      <c r="HD11" s="382"/>
      <c r="HE11" s="382"/>
      <c r="HF11" s="382"/>
      <c r="HG11" s="382"/>
      <c r="HH11" s="382"/>
      <c r="HI11" s="382"/>
      <c r="HJ11" s="382"/>
      <c r="HK11" s="382"/>
      <c r="HL11" s="382"/>
      <c r="HM11" s="382"/>
      <c r="HN11" s="382"/>
      <c r="HO11" s="382"/>
      <c r="HP11" s="382"/>
      <c r="HQ11" s="382"/>
      <c r="HR11" s="382"/>
      <c r="HS11" s="382"/>
      <c r="HT11" s="382"/>
      <c r="HU11" s="382"/>
      <c r="HV11" s="382"/>
      <c r="HW11" s="382"/>
      <c r="HX11" s="382"/>
      <c r="HY11" s="382"/>
      <c r="HZ11" s="382"/>
      <c r="IA11" s="382"/>
      <c r="IB11" s="382"/>
      <c r="IC11" s="382"/>
      <c r="ID11" s="382"/>
      <c r="IE11" s="382"/>
      <c r="IF11" s="382"/>
      <c r="IG11" s="382"/>
      <c r="IH11" s="382"/>
      <c r="II11" s="382"/>
      <c r="IJ11" s="382"/>
      <c r="IK11" s="382"/>
      <c r="IL11" s="382"/>
      <c r="IM11" s="382"/>
      <c r="IN11" s="382"/>
      <c r="IO11" s="382"/>
      <c r="IP11" s="382"/>
      <c r="IQ11" s="382"/>
      <c r="IR11" s="382"/>
      <c r="IS11" s="382"/>
      <c r="IT11" s="382"/>
      <c r="IU11" s="382"/>
      <c r="IV11" s="382"/>
    </row>
    <row r="12" spans="1:9" ht="56.25">
      <c r="A12" s="367" t="s">
        <v>666</v>
      </c>
      <c r="B12" s="378" t="s">
        <v>667</v>
      </c>
      <c r="C12" s="369">
        <f>+C13</f>
        <v>31830</v>
      </c>
      <c r="D12" s="410"/>
      <c r="E12" s="370"/>
      <c r="F12" s="370"/>
      <c r="G12" s="370"/>
      <c r="H12" s="371"/>
      <c r="I12" s="371"/>
    </row>
    <row r="13" spans="1:256" ht="56.25">
      <c r="A13" s="383">
        <v>1</v>
      </c>
      <c r="B13" s="384" t="s">
        <v>674</v>
      </c>
      <c r="C13" s="374">
        <f>+'Tong du toan'!M17/1000</f>
        <v>31830</v>
      </c>
      <c r="D13" s="410"/>
      <c r="E13" s="385" t="s">
        <v>668</v>
      </c>
      <c r="F13" s="386"/>
      <c r="G13" s="386"/>
      <c r="H13" s="387"/>
      <c r="I13" s="387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8"/>
      <c r="FK13" s="388"/>
      <c r="FL13" s="388"/>
      <c r="FM13" s="388"/>
      <c r="FN13" s="388"/>
      <c r="FO13" s="388"/>
      <c r="FP13" s="388"/>
      <c r="FQ13" s="388"/>
      <c r="FR13" s="388"/>
      <c r="FS13" s="388"/>
      <c r="FT13" s="388"/>
      <c r="FU13" s="388"/>
      <c r="FV13" s="388"/>
      <c r="FW13" s="388"/>
      <c r="FX13" s="388"/>
      <c r="FY13" s="388"/>
      <c r="FZ13" s="388"/>
      <c r="GA13" s="388"/>
      <c r="GB13" s="388"/>
      <c r="GC13" s="388"/>
      <c r="GD13" s="388"/>
      <c r="GE13" s="388"/>
      <c r="GF13" s="388"/>
      <c r="GG13" s="388"/>
      <c r="GH13" s="388"/>
      <c r="GI13" s="388"/>
      <c r="GJ13" s="388"/>
      <c r="GK13" s="388"/>
      <c r="GL13" s="388"/>
      <c r="GM13" s="388"/>
      <c r="GN13" s="388"/>
      <c r="GO13" s="388"/>
      <c r="GP13" s="388"/>
      <c r="GQ13" s="388"/>
      <c r="GR13" s="388"/>
      <c r="GS13" s="388"/>
      <c r="GT13" s="388"/>
      <c r="GU13" s="388"/>
      <c r="GV13" s="388"/>
      <c r="GW13" s="388"/>
      <c r="GX13" s="388"/>
      <c r="GY13" s="388"/>
      <c r="GZ13" s="388"/>
      <c r="HA13" s="388"/>
      <c r="HB13" s="388"/>
      <c r="HC13" s="388"/>
      <c r="HD13" s="388"/>
      <c r="HE13" s="388"/>
      <c r="HF13" s="388"/>
      <c r="HG13" s="388"/>
      <c r="HH13" s="388"/>
      <c r="HI13" s="388"/>
      <c r="HJ13" s="388"/>
      <c r="HK13" s="388"/>
      <c r="HL13" s="388"/>
      <c r="HM13" s="388"/>
      <c r="HN13" s="388"/>
      <c r="HO13" s="388"/>
      <c r="HP13" s="388"/>
      <c r="HQ13" s="388"/>
      <c r="HR13" s="388"/>
      <c r="HS13" s="388"/>
      <c r="HT13" s="388"/>
      <c r="HU13" s="388"/>
      <c r="HV13" s="388"/>
      <c r="HW13" s="388"/>
      <c r="HX13" s="388"/>
      <c r="HY13" s="388"/>
      <c r="HZ13" s="388"/>
      <c r="IA13" s="388"/>
      <c r="IB13" s="388"/>
      <c r="IC13" s="388"/>
      <c r="ID13" s="388"/>
      <c r="IE13" s="388"/>
      <c r="IF13" s="388"/>
      <c r="IG13" s="388"/>
      <c r="IH13" s="388"/>
      <c r="II13" s="388"/>
      <c r="IJ13" s="388"/>
      <c r="IK13" s="388"/>
      <c r="IL13" s="388"/>
      <c r="IM13" s="388"/>
      <c r="IN13" s="388"/>
      <c r="IO13" s="388"/>
      <c r="IP13" s="388"/>
      <c r="IQ13" s="388"/>
      <c r="IR13" s="388"/>
      <c r="IS13" s="388"/>
      <c r="IT13" s="388"/>
      <c r="IU13" s="388"/>
      <c r="IV13" s="388"/>
    </row>
    <row r="14" spans="1:256" ht="18.75">
      <c r="A14" s="389" t="s">
        <v>669</v>
      </c>
      <c r="B14" s="390" t="s">
        <v>670</v>
      </c>
      <c r="C14" s="369">
        <f>+'Tong du toan'!M18/1000</f>
        <v>66509</v>
      </c>
      <c r="D14" s="391"/>
      <c r="E14" s="392"/>
      <c r="F14" s="392"/>
      <c r="G14" s="392"/>
      <c r="H14" s="393"/>
      <c r="I14" s="393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4"/>
      <c r="HT14" s="394"/>
      <c r="HU14" s="394"/>
      <c r="HV14" s="394"/>
      <c r="HW14" s="394"/>
      <c r="HX14" s="394"/>
      <c r="HY14" s="394"/>
      <c r="HZ14" s="394"/>
      <c r="IA14" s="394"/>
      <c r="IB14" s="394"/>
      <c r="IC14" s="394"/>
      <c r="ID14" s="394"/>
      <c r="IE14" s="394"/>
      <c r="IF14" s="394"/>
      <c r="IG14" s="394"/>
      <c r="IH14" s="394"/>
      <c r="II14" s="394"/>
      <c r="IJ14" s="394"/>
      <c r="IK14" s="394"/>
      <c r="IL14" s="394"/>
      <c r="IM14" s="394"/>
      <c r="IN14" s="394"/>
      <c r="IO14" s="394"/>
      <c r="IP14" s="394"/>
      <c r="IQ14" s="394"/>
      <c r="IR14" s="394"/>
      <c r="IS14" s="394"/>
      <c r="IT14" s="394"/>
      <c r="IU14" s="394"/>
      <c r="IV14" s="394"/>
    </row>
    <row r="15" spans="1:9" ht="18.75">
      <c r="A15" s="395" t="s">
        <v>0</v>
      </c>
      <c r="B15" s="378" t="s">
        <v>671</v>
      </c>
      <c r="C15" s="369">
        <f>+C12+C9+C6+C14</f>
        <v>1152000</v>
      </c>
      <c r="D15" s="396"/>
      <c r="E15" s="375"/>
      <c r="F15" s="375"/>
      <c r="G15" s="375"/>
      <c r="H15" s="377"/>
      <c r="I15" s="377"/>
    </row>
  </sheetData>
  <sheetProtection/>
  <mergeCells count="4">
    <mergeCell ref="A1:I1"/>
    <mergeCell ref="A2:I2"/>
    <mergeCell ref="A3:I3"/>
    <mergeCell ref="D6:D13"/>
  </mergeCells>
  <printOptions/>
  <pageMargins left="0.2" right="0.2" top="0.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10">
      <selection activeCell="G13" sqref="G13"/>
    </sheetView>
  </sheetViews>
  <sheetFormatPr defaultColWidth="8.796875" defaultRowHeight="15"/>
  <cols>
    <col min="1" max="1" width="4.59765625" style="18" customWidth="1"/>
    <col min="2" max="2" width="37.69921875" style="6" bestFit="1" customWidth="1"/>
    <col min="3" max="3" width="6.09765625" style="18" customWidth="1"/>
    <col min="4" max="4" width="21.09765625" style="6" customWidth="1"/>
    <col min="5" max="5" width="15.59765625" style="7" hidden="1" customWidth="1"/>
    <col min="6" max="6" width="16.3984375" style="7" customWidth="1"/>
    <col min="7" max="8" width="9" style="6" customWidth="1"/>
    <col min="9" max="10" width="12.69921875" style="6" bestFit="1" customWidth="1"/>
    <col min="11" max="11" width="10.8984375" style="6" bestFit="1" customWidth="1"/>
    <col min="12" max="12" width="9" style="6" customWidth="1"/>
    <col min="13" max="13" width="12.3984375" style="6" bestFit="1" customWidth="1"/>
    <col min="14" max="16384" width="9" style="6" customWidth="1"/>
  </cols>
  <sheetData>
    <row r="1" spans="1:6" ht="15.75">
      <c r="A1" s="418" t="s">
        <v>626</v>
      </c>
      <c r="B1" s="418"/>
      <c r="C1" s="418"/>
      <c r="D1" s="418"/>
      <c r="E1" s="418"/>
      <c r="F1" s="418"/>
    </row>
    <row r="2" spans="1:6" ht="15.75">
      <c r="A2" s="419" t="s">
        <v>384</v>
      </c>
      <c r="B2" s="419"/>
      <c r="C2" s="419"/>
      <c r="D2" s="419"/>
      <c r="E2" s="419"/>
      <c r="F2" s="419"/>
    </row>
    <row r="3" spans="1:6" ht="15.75">
      <c r="A3" s="420" t="s">
        <v>385</v>
      </c>
      <c r="B3" s="420"/>
      <c r="C3" s="420"/>
      <c r="D3" s="420"/>
      <c r="E3" s="420"/>
      <c r="F3" s="420"/>
    </row>
    <row r="4" spans="1:6" ht="6.75" customHeight="1">
      <c r="A4" s="22"/>
      <c r="B4" s="1"/>
      <c r="C4" s="22"/>
      <c r="D4" s="1"/>
      <c r="E4" s="5"/>
      <c r="F4" s="5"/>
    </row>
    <row r="5" spans="1:6" ht="18.75">
      <c r="A5" s="421" t="s">
        <v>641</v>
      </c>
      <c r="B5" s="421"/>
      <c r="C5" s="421"/>
      <c r="D5" s="421"/>
      <c r="E5" s="421"/>
      <c r="F5" s="421"/>
    </row>
    <row r="6" spans="1:6" ht="7.5" customHeight="1">
      <c r="A6" s="22"/>
      <c r="B6" s="1"/>
      <c r="C6" s="22"/>
      <c r="D6" s="1"/>
      <c r="E6" s="5"/>
      <c r="F6" s="5"/>
    </row>
    <row r="7" spans="1:6" s="26" customFormat="1" ht="20.25" customHeight="1">
      <c r="A7" s="422" t="s">
        <v>566</v>
      </c>
      <c r="B7" s="422"/>
      <c r="C7" s="422"/>
      <c r="D7" s="422"/>
      <c r="E7" s="422"/>
      <c r="F7" s="422"/>
    </row>
    <row r="8" spans="1:6" s="26" customFormat="1" ht="20.25" customHeight="1">
      <c r="A8" s="422" t="s">
        <v>639</v>
      </c>
      <c r="B8" s="422"/>
      <c r="C8" s="422"/>
      <c r="D8" s="422"/>
      <c r="E8" s="422"/>
      <c r="F8" s="422"/>
    </row>
    <row r="9" spans="1:6" s="26" customFormat="1" ht="20.25" customHeight="1">
      <c r="A9" s="417" t="s">
        <v>643</v>
      </c>
      <c r="B9" s="417"/>
      <c r="C9" s="417"/>
      <c r="D9" s="417"/>
      <c r="E9" s="417"/>
      <c r="F9" s="417"/>
    </row>
    <row r="10" spans="1:6" ht="17.25" thickBot="1">
      <c r="A10" s="22"/>
      <c r="B10" s="1"/>
      <c r="C10" s="22"/>
      <c r="D10" s="1"/>
      <c r="E10" s="5"/>
      <c r="F10" s="400" t="s">
        <v>672</v>
      </c>
    </row>
    <row r="11" spans="1:6" ht="36" customHeight="1">
      <c r="A11" s="246" t="s">
        <v>262</v>
      </c>
      <c r="B11" s="247" t="s">
        <v>389</v>
      </c>
      <c r="C11" s="248" t="s">
        <v>390</v>
      </c>
      <c r="D11" s="247" t="s">
        <v>391</v>
      </c>
      <c r="E11" s="249" t="s">
        <v>392</v>
      </c>
      <c r="F11" s="250" t="s">
        <v>392</v>
      </c>
    </row>
    <row r="12" spans="1:6" ht="15.75">
      <c r="A12" s="251" t="s">
        <v>248</v>
      </c>
      <c r="B12" s="252" t="s">
        <v>247</v>
      </c>
      <c r="C12" s="253" t="s">
        <v>246</v>
      </c>
      <c r="D12" s="401" t="s">
        <v>620</v>
      </c>
      <c r="E12" s="254">
        <f>SUM(E13:E14)</f>
        <v>953383278.9709215</v>
      </c>
      <c r="F12" s="255">
        <f>SUM(F13:F14)</f>
        <v>953383000</v>
      </c>
    </row>
    <row r="13" spans="1:13" ht="15">
      <c r="A13" s="256" t="s">
        <v>0</v>
      </c>
      <c r="B13" s="257" t="s">
        <v>624</v>
      </c>
      <c r="C13" s="258" t="s">
        <v>245</v>
      </c>
      <c r="D13" s="402" t="s">
        <v>618</v>
      </c>
      <c r="E13" s="259">
        <f>'CP Xay lap'!E19</f>
        <v>268998156.4079161</v>
      </c>
      <c r="F13" s="260">
        <f>ROUND(E13,-3)</f>
        <v>268998000</v>
      </c>
      <c r="M13" s="7">
        <f>+F18+F19</f>
        <v>71494000</v>
      </c>
    </row>
    <row r="14" spans="1:13" ht="15">
      <c r="A14" s="256" t="s">
        <v>0</v>
      </c>
      <c r="B14" s="257" t="s">
        <v>625</v>
      </c>
      <c r="C14" s="258" t="s">
        <v>244</v>
      </c>
      <c r="D14" s="402" t="s">
        <v>619</v>
      </c>
      <c r="E14" s="259">
        <f>'CP Xay lap'!E33</f>
        <v>684385122.5630054</v>
      </c>
      <c r="F14" s="260">
        <f>ROUND(E14,-3)</f>
        <v>684385000</v>
      </c>
      <c r="M14" s="7">
        <f>+F20+F21</f>
        <v>4320000</v>
      </c>
    </row>
    <row r="15" spans="1:13" ht="15.75">
      <c r="A15" s="261" t="s">
        <v>243</v>
      </c>
      <c r="B15" s="262" t="s">
        <v>242</v>
      </c>
      <c r="C15" s="263" t="s">
        <v>241</v>
      </c>
      <c r="D15" s="403" t="s">
        <v>240</v>
      </c>
      <c r="E15" s="264">
        <f>E16</f>
        <v>25143317.202678572</v>
      </c>
      <c r="F15" s="255">
        <f>SUM(F16)</f>
        <v>25143000</v>
      </c>
      <c r="M15" s="7">
        <f>+F12</f>
        <v>953383000</v>
      </c>
    </row>
    <row r="16" spans="1:13" ht="15">
      <c r="A16" s="256" t="s">
        <v>0</v>
      </c>
      <c r="B16" s="257" t="s">
        <v>239</v>
      </c>
      <c r="C16" s="258" t="s">
        <v>238</v>
      </c>
      <c r="D16" s="402" t="s">
        <v>588</v>
      </c>
      <c r="E16" s="259">
        <f>E12/1.1*2.901/100</f>
        <v>25143317.202678572</v>
      </c>
      <c r="F16" s="260">
        <f>ROUND(E16,-3)</f>
        <v>25143000</v>
      </c>
      <c r="M16" s="7">
        <f>+F22</f>
        <v>24464000</v>
      </c>
    </row>
    <row r="17" spans="1:13" ht="15.75">
      <c r="A17" s="261" t="s">
        <v>237</v>
      </c>
      <c r="B17" s="262" t="s">
        <v>236</v>
      </c>
      <c r="C17" s="263" t="s">
        <v>235</v>
      </c>
      <c r="D17" s="403" t="s">
        <v>623</v>
      </c>
      <c r="E17" s="264">
        <f>SUM(E18:E22)</f>
        <v>100278045.11870728</v>
      </c>
      <c r="F17" s="255">
        <f>SUM(F18:F22)</f>
        <v>100278000</v>
      </c>
      <c r="M17" s="7">
        <f>+F15+F24+F25</f>
        <v>31830000</v>
      </c>
    </row>
    <row r="18" spans="1:13" ht="15">
      <c r="A18" s="256" t="s">
        <v>0</v>
      </c>
      <c r="B18" s="11" t="s">
        <v>627</v>
      </c>
      <c r="C18" s="258" t="s">
        <v>234</v>
      </c>
      <c r="D18" s="404" t="s">
        <v>640</v>
      </c>
      <c r="E18" s="259">
        <f>'[2]CP Xay lap1'!$E$22</f>
        <v>16198000</v>
      </c>
      <c r="F18" s="260">
        <f>ROUND(E18,-3)</f>
        <v>16198000</v>
      </c>
      <c r="I18" s="357">
        <v>963665000</v>
      </c>
      <c r="J18" s="357">
        <f>F12</f>
        <v>953383000</v>
      </c>
      <c r="K18" s="357">
        <f aca="true" t="shared" si="0" ref="K18:K23">J18-I18</f>
        <v>-10282000</v>
      </c>
      <c r="M18" s="7">
        <f>+F26</f>
        <v>66509000</v>
      </c>
    </row>
    <row r="19" spans="1:13" ht="15">
      <c r="A19" s="256" t="s">
        <v>0</v>
      </c>
      <c r="B19" s="11" t="s">
        <v>628</v>
      </c>
      <c r="C19" s="258" t="s">
        <v>233</v>
      </c>
      <c r="D19" s="402" t="s">
        <v>232</v>
      </c>
      <c r="E19" s="259">
        <f>E12*5.8/100</f>
        <v>55296230.180313446</v>
      </c>
      <c r="F19" s="260">
        <f>ROUND(E19,-3)</f>
        <v>55296000</v>
      </c>
      <c r="I19" s="357">
        <v>25414000</v>
      </c>
      <c r="J19" s="357">
        <f>F15</f>
        <v>25143000</v>
      </c>
      <c r="K19" s="357">
        <f t="shared" si="0"/>
        <v>-271000</v>
      </c>
      <c r="M19" s="7">
        <f>SUM(M13:M18)</f>
        <v>1152000000</v>
      </c>
    </row>
    <row r="20" spans="1:11" ht="15">
      <c r="A20" s="256" t="s">
        <v>0</v>
      </c>
      <c r="B20" s="244" t="s">
        <v>629</v>
      </c>
      <c r="C20" s="258" t="s">
        <v>231</v>
      </c>
      <c r="D20" s="402" t="s">
        <v>589</v>
      </c>
      <c r="E20" s="259">
        <f>2160000</f>
        <v>2160000</v>
      </c>
      <c r="F20" s="260">
        <f>ROUND(E20,-3)</f>
        <v>2160000</v>
      </c>
      <c r="I20" s="357">
        <v>105318000</v>
      </c>
      <c r="J20" s="357">
        <f>F17</f>
        <v>100278000</v>
      </c>
      <c r="K20" s="357">
        <f t="shared" si="0"/>
        <v>-5040000</v>
      </c>
    </row>
    <row r="21" spans="1:11" ht="15">
      <c r="A21" s="256" t="s">
        <v>0</v>
      </c>
      <c r="B21" s="244" t="s">
        <v>630</v>
      </c>
      <c r="C21" s="258" t="s">
        <v>230</v>
      </c>
      <c r="D21" s="402" t="s">
        <v>589</v>
      </c>
      <c r="E21" s="259">
        <f>2160000</f>
        <v>2160000</v>
      </c>
      <c r="F21" s="260">
        <f>ROUND(E21,-3)</f>
        <v>2160000</v>
      </c>
      <c r="I21" s="357">
        <v>10714000</v>
      </c>
      <c r="J21" s="357">
        <f>F23</f>
        <v>6687000</v>
      </c>
      <c r="K21" s="357">
        <f t="shared" si="0"/>
        <v>-4027000</v>
      </c>
    </row>
    <row r="22" spans="1:11" ht="15">
      <c r="A22" s="256" t="s">
        <v>0</v>
      </c>
      <c r="B22" s="11" t="s">
        <v>631</v>
      </c>
      <c r="C22" s="258" t="s">
        <v>622</v>
      </c>
      <c r="D22" s="402" t="s">
        <v>229</v>
      </c>
      <c r="E22" s="259">
        <f>E12*2.566/100</f>
        <v>24463814.938393846</v>
      </c>
      <c r="F22" s="260">
        <f>ROUND(E22,-3)</f>
        <v>24464000</v>
      </c>
      <c r="I22" s="357">
        <v>46889000</v>
      </c>
      <c r="J22" s="357">
        <f>F26</f>
        <v>66509000</v>
      </c>
      <c r="K22" s="357">
        <f t="shared" si="0"/>
        <v>19620000</v>
      </c>
    </row>
    <row r="23" spans="1:11" ht="15.75">
      <c r="A23" s="261" t="s">
        <v>228</v>
      </c>
      <c r="B23" s="262" t="s">
        <v>227</v>
      </c>
      <c r="C23" s="263" t="s">
        <v>226</v>
      </c>
      <c r="D23" s="403" t="s">
        <v>633</v>
      </c>
      <c r="E23" s="264">
        <f>SUM(E24:E25)</f>
        <v>6687298.7</v>
      </c>
      <c r="F23" s="255">
        <f>SUM(F24:F25)</f>
        <v>6687000</v>
      </c>
      <c r="I23" s="358">
        <f>SUM(I18:I22)</f>
        <v>1152000000</v>
      </c>
      <c r="J23" s="358">
        <f>SUM(J18:J22)</f>
        <v>1152000000</v>
      </c>
      <c r="K23" s="357">
        <f t="shared" si="0"/>
        <v>0</v>
      </c>
    </row>
    <row r="24" spans="1:6" ht="15">
      <c r="A24" s="256" t="s">
        <v>0</v>
      </c>
      <c r="B24" s="244" t="s">
        <v>632</v>
      </c>
      <c r="C24" s="258" t="s">
        <v>621</v>
      </c>
      <c r="D24" s="402" t="s">
        <v>589</v>
      </c>
      <c r="E24" s="259">
        <f>500000</f>
        <v>500000</v>
      </c>
      <c r="F24" s="260">
        <f>ROUND(E24,-3)</f>
        <v>500000</v>
      </c>
    </row>
    <row r="25" spans="1:6" ht="15">
      <c r="A25" s="256" t="s">
        <v>0</v>
      </c>
      <c r="B25" s="257" t="s">
        <v>225</v>
      </c>
      <c r="C25" s="258" t="s">
        <v>675</v>
      </c>
      <c r="D25" s="402" t="s">
        <v>634</v>
      </c>
      <c r="E25" s="259">
        <f>(I28-E26)*0.57/100</f>
        <v>6187298.7</v>
      </c>
      <c r="F25" s="260">
        <f>ROUND(E25,-3)</f>
        <v>6187000</v>
      </c>
    </row>
    <row r="26" spans="1:6" ht="15.75">
      <c r="A26" s="261" t="s">
        <v>224</v>
      </c>
      <c r="B26" s="262" t="s">
        <v>223</v>
      </c>
      <c r="C26" s="263" t="s">
        <v>222</v>
      </c>
      <c r="D26" s="403" t="s">
        <v>617</v>
      </c>
      <c r="E26" s="264">
        <v>66509000</v>
      </c>
      <c r="F26" s="265">
        <f>ROUND(E26,-3)</f>
        <v>66509000</v>
      </c>
    </row>
    <row r="27" spans="1:9" ht="15.75">
      <c r="A27" s="261" t="s">
        <v>221</v>
      </c>
      <c r="B27" s="262" t="s">
        <v>220</v>
      </c>
      <c r="C27" s="263" t="s">
        <v>219</v>
      </c>
      <c r="D27" s="403" t="s">
        <v>571</v>
      </c>
      <c r="E27" s="264">
        <f>ROUND(E12+E15+E17+E23+E26,-4)</f>
        <v>1152000000</v>
      </c>
      <c r="F27" s="265">
        <f>F12+F15+F17+F23+F26</f>
        <v>1152000000</v>
      </c>
      <c r="I27" s="7">
        <f>I28-F12-F15-F17-F23</f>
        <v>66509000</v>
      </c>
    </row>
    <row r="28" spans="1:9" ht="16.5" thickBot="1">
      <c r="A28" s="19" t="s">
        <v>0</v>
      </c>
      <c r="B28" s="13" t="s">
        <v>0</v>
      </c>
      <c r="C28" s="21" t="s">
        <v>0</v>
      </c>
      <c r="D28" s="13" t="s">
        <v>0</v>
      </c>
      <c r="E28" s="14"/>
      <c r="F28" s="15"/>
      <c r="I28" s="264">
        <v>1152000000</v>
      </c>
    </row>
    <row r="29" spans="1:6" ht="15">
      <c r="A29" s="415"/>
      <c r="B29" s="415"/>
      <c r="C29" s="415"/>
      <c r="D29" s="415"/>
      <c r="E29" s="415"/>
      <c r="F29" s="415"/>
    </row>
    <row r="30" spans="4:6" ht="15">
      <c r="D30" s="416"/>
      <c r="E30" s="416"/>
      <c r="F30" s="416"/>
    </row>
    <row r="31" spans="1:6" ht="22.5" customHeight="1">
      <c r="A31" s="266"/>
      <c r="B31" s="267"/>
      <c r="C31" s="411"/>
      <c r="D31" s="411"/>
      <c r="E31" s="411"/>
      <c r="F31" s="411"/>
    </row>
    <row r="32" spans="1:6" ht="21.75" customHeight="1">
      <c r="A32" s="266"/>
      <c r="B32" s="266"/>
      <c r="C32" s="412"/>
      <c r="D32" s="412"/>
      <c r="E32" s="412"/>
      <c r="F32" s="412"/>
    </row>
    <row r="33" spans="1:6" ht="17.25">
      <c r="A33" s="266"/>
      <c r="B33" s="266"/>
      <c r="C33" s="269"/>
      <c r="D33" s="268"/>
      <c r="E33" s="268"/>
      <c r="F33" s="270"/>
    </row>
    <row r="34" spans="1:6" ht="17.25">
      <c r="A34" s="266"/>
      <c r="B34" s="266"/>
      <c r="C34" s="269"/>
      <c r="D34" s="268"/>
      <c r="E34" s="268"/>
      <c r="F34" s="268"/>
    </row>
    <row r="35" spans="1:6" ht="17.25">
      <c r="A35" s="266"/>
      <c r="B35" s="266"/>
      <c r="C35" s="269"/>
      <c r="D35" s="268"/>
      <c r="E35" s="268"/>
      <c r="F35" s="268"/>
    </row>
    <row r="36" spans="1:6" ht="17.25">
      <c r="A36" s="266"/>
      <c r="B36" s="266"/>
      <c r="C36" s="269"/>
      <c r="D36" s="268"/>
      <c r="E36" s="268"/>
      <c r="F36" s="268"/>
    </row>
    <row r="37" spans="1:6" ht="16.5">
      <c r="A37" s="413"/>
      <c r="B37" s="413"/>
      <c r="C37" s="269"/>
      <c r="D37" s="414"/>
      <c r="E37" s="414"/>
      <c r="F37" s="414"/>
    </row>
    <row r="38" spans="1:6" ht="17.25">
      <c r="A38" s="272"/>
      <c r="B38" s="273"/>
      <c r="C38" s="412"/>
      <c r="D38" s="412"/>
      <c r="E38" s="412"/>
      <c r="F38" s="412"/>
    </row>
    <row r="39" spans="1:6" ht="16.5">
      <c r="A39" s="272"/>
      <c r="B39" s="274"/>
      <c r="C39" s="271"/>
      <c r="D39" s="271"/>
      <c r="E39" s="271"/>
      <c r="F39" s="271"/>
    </row>
  </sheetData>
  <sheetProtection/>
  <mergeCells count="14">
    <mergeCell ref="A9:F9"/>
    <mergeCell ref="A1:F1"/>
    <mergeCell ref="A2:F2"/>
    <mergeCell ref="A3:F3"/>
    <mergeCell ref="A5:F5"/>
    <mergeCell ref="A7:F7"/>
    <mergeCell ref="A8:F8"/>
    <mergeCell ref="C31:F31"/>
    <mergeCell ref="C32:F32"/>
    <mergeCell ref="A37:B37"/>
    <mergeCell ref="D37:F37"/>
    <mergeCell ref="C38:F38"/>
    <mergeCell ref="A29:F29"/>
    <mergeCell ref="D30:F30"/>
  </mergeCells>
  <printOptions/>
  <pageMargins left="0.5" right="0.01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zoomScale="145" zoomScaleNormal="145" zoomScalePageLayoutView="0" workbookViewId="0" topLeftCell="A1">
      <selection activeCell="B22" sqref="B22"/>
    </sheetView>
  </sheetViews>
  <sheetFormatPr defaultColWidth="8.796875" defaultRowHeight="15"/>
  <cols>
    <col min="1" max="1" width="4.59765625" style="18" customWidth="1"/>
    <col min="2" max="2" width="36" style="6" customWidth="1"/>
    <col min="3" max="3" width="5.5" style="18" customWidth="1"/>
    <col min="4" max="4" width="17.5" style="6" customWidth="1"/>
    <col min="5" max="5" width="15.8984375" style="7" customWidth="1"/>
    <col min="6" max="16384" width="9" style="6" customWidth="1"/>
  </cols>
  <sheetData>
    <row r="1" spans="1:5" ht="21">
      <c r="A1" s="423" t="s">
        <v>393</v>
      </c>
      <c r="B1" s="423"/>
      <c r="C1" s="423"/>
      <c r="D1" s="423"/>
      <c r="E1" s="423"/>
    </row>
    <row r="2" spans="1:5" ht="15.75">
      <c r="A2" s="22"/>
      <c r="B2" s="1"/>
      <c r="C2" s="22"/>
      <c r="D2" s="1"/>
      <c r="E2" s="5"/>
    </row>
    <row r="3" spans="1:5" s="26" customFormat="1" ht="20.25" customHeight="1">
      <c r="A3" s="422" t="s">
        <v>566</v>
      </c>
      <c r="B3" s="422"/>
      <c r="C3" s="422"/>
      <c r="D3" s="422"/>
      <c r="E3" s="422"/>
    </row>
    <row r="4" spans="1:5" s="26" customFormat="1" ht="20.25" customHeight="1">
      <c r="A4" s="422" t="s">
        <v>586</v>
      </c>
      <c r="B4" s="422"/>
      <c r="C4" s="422"/>
      <c r="D4" s="422"/>
      <c r="E4" s="422"/>
    </row>
    <row r="5" spans="1:5" ht="16.5" thickBot="1">
      <c r="A5" s="22"/>
      <c r="B5" s="1"/>
      <c r="C5" s="22"/>
      <c r="D5" s="1"/>
      <c r="E5" s="5"/>
    </row>
    <row r="6" spans="1:5" ht="36" customHeight="1">
      <c r="A6" s="23" t="s">
        <v>262</v>
      </c>
      <c r="B6" s="24" t="s">
        <v>389</v>
      </c>
      <c r="C6" s="25" t="s">
        <v>390</v>
      </c>
      <c r="D6" s="24" t="s">
        <v>391</v>
      </c>
      <c r="E6" s="27" t="s">
        <v>394</v>
      </c>
    </row>
    <row r="7" spans="1:5" ht="15.75">
      <c r="A7" s="251" t="s">
        <v>286</v>
      </c>
      <c r="B7" s="252" t="s">
        <v>635</v>
      </c>
      <c r="C7" s="253" t="s">
        <v>0</v>
      </c>
      <c r="D7" s="252" t="s">
        <v>0</v>
      </c>
      <c r="E7" s="255"/>
    </row>
    <row r="8" spans="1:5" ht="15">
      <c r="A8" s="256" t="s">
        <v>0</v>
      </c>
      <c r="B8" s="257" t="s">
        <v>284</v>
      </c>
      <c r="C8" s="258" t="s">
        <v>283</v>
      </c>
      <c r="D8" s="257" t="s">
        <v>282</v>
      </c>
      <c r="E8" s="260">
        <f>E9+E10+E11</f>
        <v>213439273.2604113</v>
      </c>
    </row>
    <row r="9" spans="1:5" ht="15">
      <c r="A9" s="256" t="s">
        <v>0</v>
      </c>
      <c r="B9" s="257" t="s">
        <v>281</v>
      </c>
      <c r="C9" s="258" t="s">
        <v>280</v>
      </c>
      <c r="D9" s="257" t="s">
        <v>279</v>
      </c>
      <c r="E9" s="260">
        <f>'Du toan chi tiet'!I8</f>
        <v>120208852.9637558</v>
      </c>
    </row>
    <row r="10" spans="1:5" ht="15">
      <c r="A10" s="256" t="s">
        <v>0</v>
      </c>
      <c r="B10" s="257" t="s">
        <v>278</v>
      </c>
      <c r="C10" s="258" t="s">
        <v>277</v>
      </c>
      <c r="D10" s="257" t="s">
        <v>276</v>
      </c>
      <c r="E10" s="260">
        <f>'Du toan chi tiet'!J8</f>
        <v>76589018.6319852</v>
      </c>
    </row>
    <row r="11" spans="1:5" ht="15">
      <c r="A11" s="256" t="s">
        <v>0</v>
      </c>
      <c r="B11" s="257" t="s">
        <v>275</v>
      </c>
      <c r="C11" s="258" t="s">
        <v>274</v>
      </c>
      <c r="D11" s="257" t="s">
        <v>273</v>
      </c>
      <c r="E11" s="260">
        <f>'Du toan chi tiet'!K8</f>
        <v>16641401.664670276</v>
      </c>
    </row>
    <row r="12" spans="1:5" ht="15">
      <c r="A12" s="256" t="s">
        <v>0</v>
      </c>
      <c r="B12" s="257" t="s">
        <v>272</v>
      </c>
      <c r="C12" s="258" t="s">
        <v>271</v>
      </c>
      <c r="D12" s="257" t="s">
        <v>270</v>
      </c>
      <c r="E12" s="260">
        <f>E13+E14+E15</f>
        <v>18355777.500395373</v>
      </c>
    </row>
    <row r="13" spans="1:5" ht="15">
      <c r="A13" s="256" t="s">
        <v>0</v>
      </c>
      <c r="B13" s="257" t="s">
        <v>269</v>
      </c>
      <c r="C13" s="258" t="s">
        <v>268</v>
      </c>
      <c r="D13" s="257" t="s">
        <v>267</v>
      </c>
      <c r="E13" s="260">
        <f>E8*5.5/100</f>
        <v>11739160.029322622</v>
      </c>
    </row>
    <row r="14" spans="1:5" ht="15">
      <c r="A14" s="256" t="s">
        <v>0</v>
      </c>
      <c r="B14" s="257" t="s">
        <v>266</v>
      </c>
      <c r="C14" s="258" t="s">
        <v>265</v>
      </c>
      <c r="D14" s="257" t="s">
        <v>264</v>
      </c>
      <c r="E14" s="260">
        <f>E8*1.1/100</f>
        <v>2347832.0058645247</v>
      </c>
    </row>
    <row r="15" spans="1:5" ht="15">
      <c r="A15" s="256" t="s">
        <v>0</v>
      </c>
      <c r="B15" s="257" t="s">
        <v>263</v>
      </c>
      <c r="C15" s="258" t="s">
        <v>262</v>
      </c>
      <c r="D15" s="257" t="s">
        <v>261</v>
      </c>
      <c r="E15" s="260">
        <f>E8*2/100</f>
        <v>4268785.465208226</v>
      </c>
    </row>
    <row r="16" spans="1:5" ht="15">
      <c r="A16" s="256" t="s">
        <v>0</v>
      </c>
      <c r="B16" s="257" t="s">
        <v>260</v>
      </c>
      <c r="C16" s="258" t="s">
        <v>259</v>
      </c>
      <c r="D16" s="257" t="s">
        <v>258</v>
      </c>
      <c r="E16" s="260">
        <f>(E8+E12)*5.5/100</f>
        <v>12748727.791844368</v>
      </c>
    </row>
    <row r="17" spans="1:5" ht="15.75">
      <c r="A17" s="261" t="s">
        <v>257</v>
      </c>
      <c r="B17" s="262" t="s">
        <v>256</v>
      </c>
      <c r="C17" s="263" t="s">
        <v>219</v>
      </c>
      <c r="D17" s="262" t="s">
        <v>255</v>
      </c>
      <c r="E17" s="265">
        <f>E8+E12+E16</f>
        <v>244543778.55265105</v>
      </c>
    </row>
    <row r="18" spans="1:5" ht="15">
      <c r="A18" s="256" t="s">
        <v>0</v>
      </c>
      <c r="B18" s="257" t="s">
        <v>254</v>
      </c>
      <c r="C18" s="258" t="s">
        <v>253</v>
      </c>
      <c r="D18" s="257" t="s">
        <v>616</v>
      </c>
      <c r="E18" s="260">
        <f>E17*10/100</f>
        <v>24454377.855265103</v>
      </c>
    </row>
    <row r="19" spans="1:5" ht="15.75">
      <c r="A19" s="261" t="s">
        <v>252</v>
      </c>
      <c r="B19" s="262" t="s">
        <v>251</v>
      </c>
      <c r="C19" s="263" t="s">
        <v>250</v>
      </c>
      <c r="D19" s="262" t="s">
        <v>249</v>
      </c>
      <c r="E19" s="265">
        <f>E17+E18</f>
        <v>268998156.4079161</v>
      </c>
    </row>
    <row r="20" spans="1:5" ht="15">
      <c r="A20" s="256" t="s">
        <v>0</v>
      </c>
      <c r="B20" s="257" t="s">
        <v>0</v>
      </c>
      <c r="C20" s="258" t="s">
        <v>0</v>
      </c>
      <c r="D20" s="257" t="s">
        <v>0</v>
      </c>
      <c r="E20" s="260"/>
    </row>
    <row r="21" spans="1:5" ht="15.75">
      <c r="A21" s="261" t="s">
        <v>285</v>
      </c>
      <c r="B21" s="262" t="s">
        <v>636</v>
      </c>
      <c r="C21" s="263" t="s">
        <v>0</v>
      </c>
      <c r="D21" s="262" t="s">
        <v>0</v>
      </c>
      <c r="E21" s="265"/>
    </row>
    <row r="22" spans="1:5" ht="15">
      <c r="A22" s="256" t="s">
        <v>0</v>
      </c>
      <c r="B22" s="257" t="s">
        <v>284</v>
      </c>
      <c r="C22" s="258" t="s">
        <v>283</v>
      </c>
      <c r="D22" s="257" t="s">
        <v>282</v>
      </c>
      <c r="E22" s="260">
        <f>E23+E24+E25</f>
        <v>543032209.3679103</v>
      </c>
    </row>
    <row r="23" spans="1:5" ht="15">
      <c r="A23" s="256" t="s">
        <v>0</v>
      </c>
      <c r="B23" s="257" t="s">
        <v>281</v>
      </c>
      <c r="C23" s="258" t="s">
        <v>280</v>
      </c>
      <c r="D23" s="257" t="s">
        <v>279</v>
      </c>
      <c r="E23" s="260">
        <f>'Du toan chi tiet'!I43</f>
        <v>359844824.2217436</v>
      </c>
    </row>
    <row r="24" spans="1:5" ht="15">
      <c r="A24" s="256" t="s">
        <v>0</v>
      </c>
      <c r="B24" s="257" t="s">
        <v>278</v>
      </c>
      <c r="C24" s="258" t="s">
        <v>277</v>
      </c>
      <c r="D24" s="257" t="s">
        <v>276</v>
      </c>
      <c r="E24" s="260">
        <f>'Du toan chi tiet'!J43</f>
        <v>110816504.5727334</v>
      </c>
    </row>
    <row r="25" spans="1:5" ht="15">
      <c r="A25" s="256" t="s">
        <v>0</v>
      </c>
      <c r="B25" s="257" t="s">
        <v>275</v>
      </c>
      <c r="C25" s="258" t="s">
        <v>274</v>
      </c>
      <c r="D25" s="257" t="s">
        <v>273</v>
      </c>
      <c r="E25" s="260">
        <f>'Du toan chi tiet'!K43</f>
        <v>72370880.5734333</v>
      </c>
    </row>
    <row r="26" spans="1:5" ht="15">
      <c r="A26" s="256" t="s">
        <v>0</v>
      </c>
      <c r="B26" s="257" t="s">
        <v>272</v>
      </c>
      <c r="C26" s="258" t="s">
        <v>271</v>
      </c>
      <c r="D26" s="257" t="s">
        <v>270</v>
      </c>
      <c r="E26" s="260">
        <f>E27+E28+E29</f>
        <v>46700770.00564029</v>
      </c>
    </row>
    <row r="27" spans="1:5" ht="15">
      <c r="A27" s="256" t="s">
        <v>0</v>
      </c>
      <c r="B27" s="257" t="s">
        <v>269</v>
      </c>
      <c r="C27" s="258" t="s">
        <v>268</v>
      </c>
      <c r="D27" s="257" t="s">
        <v>267</v>
      </c>
      <c r="E27" s="260">
        <f>E22*5.5/100</f>
        <v>29866771.515235066</v>
      </c>
    </row>
    <row r="28" spans="1:5" ht="15">
      <c r="A28" s="256" t="s">
        <v>0</v>
      </c>
      <c r="B28" s="257" t="s">
        <v>266</v>
      </c>
      <c r="C28" s="258" t="s">
        <v>265</v>
      </c>
      <c r="D28" s="257" t="s">
        <v>264</v>
      </c>
      <c r="E28" s="260">
        <f>E22*1.1/100</f>
        <v>5973354.3030470135</v>
      </c>
    </row>
    <row r="29" spans="1:5" ht="15">
      <c r="A29" s="256" t="s">
        <v>0</v>
      </c>
      <c r="B29" s="257" t="s">
        <v>263</v>
      </c>
      <c r="C29" s="258" t="s">
        <v>262</v>
      </c>
      <c r="D29" s="257" t="s">
        <v>261</v>
      </c>
      <c r="E29" s="260">
        <f>E22*2/100</f>
        <v>10860644.187358206</v>
      </c>
    </row>
    <row r="30" spans="1:5" ht="15">
      <c r="A30" s="256" t="s">
        <v>0</v>
      </c>
      <c r="B30" s="257" t="s">
        <v>260</v>
      </c>
      <c r="C30" s="258" t="s">
        <v>259</v>
      </c>
      <c r="D30" s="257" t="s">
        <v>258</v>
      </c>
      <c r="E30" s="260">
        <f>(E22+E26)*5.5/100</f>
        <v>32435313.865545277</v>
      </c>
    </row>
    <row r="31" spans="1:5" ht="15.75">
      <c r="A31" s="261" t="s">
        <v>257</v>
      </c>
      <c r="B31" s="262" t="s">
        <v>256</v>
      </c>
      <c r="C31" s="263" t="s">
        <v>219</v>
      </c>
      <c r="D31" s="262" t="s">
        <v>255</v>
      </c>
      <c r="E31" s="265">
        <f>E22+E26+E30</f>
        <v>622168293.2390958</v>
      </c>
    </row>
    <row r="32" spans="1:5" ht="15">
      <c r="A32" s="256" t="s">
        <v>0</v>
      </c>
      <c r="B32" s="257" t="s">
        <v>254</v>
      </c>
      <c r="C32" s="258" t="s">
        <v>253</v>
      </c>
      <c r="D32" s="257" t="s">
        <v>616</v>
      </c>
      <c r="E32" s="260">
        <f>E31*10/100</f>
        <v>62216829.32390958</v>
      </c>
    </row>
    <row r="33" spans="1:5" ht="15.75">
      <c r="A33" s="261" t="s">
        <v>252</v>
      </c>
      <c r="B33" s="262" t="s">
        <v>251</v>
      </c>
      <c r="C33" s="263" t="s">
        <v>250</v>
      </c>
      <c r="D33" s="262" t="s">
        <v>249</v>
      </c>
      <c r="E33" s="265">
        <f>E31+E32</f>
        <v>684385122.5630054</v>
      </c>
    </row>
    <row r="34" spans="1:5" ht="15.75" thickBot="1">
      <c r="A34" s="275" t="s">
        <v>0</v>
      </c>
      <c r="B34" s="276" t="s">
        <v>0</v>
      </c>
      <c r="C34" s="277" t="s">
        <v>0</v>
      </c>
      <c r="D34" s="276" t="s">
        <v>0</v>
      </c>
      <c r="E34" s="278"/>
    </row>
    <row r="36" spans="4:5" ht="15">
      <c r="D36" s="416"/>
      <c r="E36" s="416"/>
    </row>
    <row r="37" spans="4:5" ht="15.75">
      <c r="D37" s="419"/>
      <c r="E37" s="419"/>
    </row>
    <row r="38" spans="4:5" ht="15.75">
      <c r="D38" s="419"/>
      <c r="E38" s="419"/>
    </row>
  </sheetData>
  <sheetProtection/>
  <mergeCells count="6">
    <mergeCell ref="D38:E38"/>
    <mergeCell ref="A1:E1"/>
    <mergeCell ref="A3:E3"/>
    <mergeCell ref="A4:E4"/>
    <mergeCell ref="D36:E36"/>
    <mergeCell ref="D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showGridLines="0" showZeros="0" zoomScale="160" zoomScaleNormal="160" zoomScalePageLayoutView="0" workbookViewId="0" topLeftCell="A1">
      <selection activeCell="C44" sqref="C44"/>
    </sheetView>
  </sheetViews>
  <sheetFormatPr defaultColWidth="8.796875" defaultRowHeight="15"/>
  <cols>
    <col min="1" max="1" width="3.3984375" style="187" customWidth="1"/>
    <col min="2" max="2" width="9.8984375" style="155" bestFit="1" customWidth="1"/>
    <col min="3" max="3" width="29.8984375" style="155" customWidth="1"/>
    <col min="4" max="4" width="6.69921875" style="187" customWidth="1"/>
    <col min="5" max="5" width="8.3984375" style="188" customWidth="1"/>
    <col min="6" max="6" width="10.8984375" style="189" customWidth="1"/>
    <col min="7" max="7" width="9.69921875" style="189" customWidth="1"/>
    <col min="8" max="8" width="10" style="189" customWidth="1"/>
    <col min="9" max="9" width="12.19921875" style="190" customWidth="1"/>
    <col min="10" max="10" width="11.3984375" style="190" customWidth="1"/>
    <col min="11" max="11" width="12" style="190" customWidth="1"/>
    <col min="12" max="13" width="9" style="155" customWidth="1"/>
    <col min="14" max="16384" width="9" style="155" customWidth="1"/>
  </cols>
  <sheetData>
    <row r="1" spans="1:11" ht="21" customHeight="1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4.25">
      <c r="A2" s="182"/>
      <c r="B2" s="181"/>
      <c r="C2" s="181"/>
      <c r="D2" s="182"/>
      <c r="E2" s="183"/>
      <c r="F2" s="184"/>
      <c r="G2" s="184"/>
      <c r="H2" s="184"/>
      <c r="I2" s="185"/>
      <c r="J2" s="185"/>
      <c r="K2" s="185"/>
    </row>
    <row r="3" spans="1:11" s="186" customFormat="1" ht="20.25" customHeight="1">
      <c r="A3" s="434" t="s">
        <v>566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</row>
    <row r="4" spans="1:11" s="186" customFormat="1" ht="20.25" customHeight="1">
      <c r="A4" s="434" t="s">
        <v>586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</row>
    <row r="5" spans="1:11" ht="15" thickBot="1">
      <c r="A5" s="182"/>
      <c r="B5" s="181"/>
      <c r="C5" s="181"/>
      <c r="D5" s="182"/>
      <c r="E5" s="183"/>
      <c r="F5" s="184"/>
      <c r="G5" s="184"/>
      <c r="H5" s="184"/>
      <c r="I5" s="185"/>
      <c r="J5" s="185"/>
      <c r="K5" s="185"/>
    </row>
    <row r="6" spans="1:11" ht="22.5" customHeight="1">
      <c r="A6" s="435" t="s">
        <v>262</v>
      </c>
      <c r="B6" s="426" t="s">
        <v>397</v>
      </c>
      <c r="C6" s="424" t="s">
        <v>398</v>
      </c>
      <c r="D6" s="426" t="s">
        <v>399</v>
      </c>
      <c r="E6" s="427" t="s">
        <v>400</v>
      </c>
      <c r="F6" s="428" t="s">
        <v>396</v>
      </c>
      <c r="G6" s="429"/>
      <c r="H6" s="430"/>
      <c r="I6" s="431" t="s">
        <v>394</v>
      </c>
      <c r="J6" s="429"/>
      <c r="K6" s="432"/>
    </row>
    <row r="7" spans="1:11" ht="22.5" customHeight="1">
      <c r="A7" s="436"/>
      <c r="B7" s="425"/>
      <c r="C7" s="425"/>
      <c r="D7" s="425"/>
      <c r="E7" s="425"/>
      <c r="F7" s="296" t="s">
        <v>401</v>
      </c>
      <c r="G7" s="296" t="s">
        <v>402</v>
      </c>
      <c r="H7" s="296" t="s">
        <v>403</v>
      </c>
      <c r="I7" s="297" t="s">
        <v>401</v>
      </c>
      <c r="J7" s="297" t="s">
        <v>402</v>
      </c>
      <c r="K7" s="298" t="s">
        <v>404</v>
      </c>
    </row>
    <row r="8" spans="1:11" ht="14.25">
      <c r="A8" s="299" t="s">
        <v>2</v>
      </c>
      <c r="B8" s="300" t="s">
        <v>0</v>
      </c>
      <c r="C8" s="300" t="s">
        <v>635</v>
      </c>
      <c r="D8" s="301" t="s">
        <v>0</v>
      </c>
      <c r="E8" s="302"/>
      <c r="F8" s="303"/>
      <c r="G8" s="303"/>
      <c r="H8" s="303"/>
      <c r="I8" s="304">
        <f>SUM(I9:I42)</f>
        <v>120208852.9637558</v>
      </c>
      <c r="J8" s="304">
        <f>SUM(J9:J42)</f>
        <v>76589018.6319852</v>
      </c>
      <c r="K8" s="305">
        <f>SUM(K9:K42)</f>
        <v>16641401.664670276</v>
      </c>
    </row>
    <row r="9" spans="1:11" ht="15">
      <c r="A9" s="306" t="s">
        <v>2</v>
      </c>
      <c r="B9" s="307" t="s">
        <v>3</v>
      </c>
      <c r="C9" s="307" t="s">
        <v>454</v>
      </c>
      <c r="D9" s="308" t="s">
        <v>5</v>
      </c>
      <c r="E9" s="309">
        <f>314.72</f>
        <v>314.72</v>
      </c>
      <c r="F9" s="310"/>
      <c r="G9" s="310">
        <f>'Phan tich don gia'!G8</f>
        <v>10075.57912</v>
      </c>
      <c r="H9" s="310">
        <f>'Phan tich don gia'!G10</f>
        <v>16022.14134</v>
      </c>
      <c r="I9" s="311">
        <f>E9*F9</f>
        <v>0</v>
      </c>
      <c r="J9" s="311">
        <f>E9*G9</f>
        <v>3170986.2606464005</v>
      </c>
      <c r="K9" s="312">
        <f>E9*H9</f>
        <v>5042488.322524801</v>
      </c>
    </row>
    <row r="10" spans="1:11" ht="15">
      <c r="A10" s="306" t="s">
        <v>11</v>
      </c>
      <c r="B10" s="307" t="s">
        <v>12</v>
      </c>
      <c r="C10" s="307" t="s">
        <v>455</v>
      </c>
      <c r="D10" s="308" t="s">
        <v>5</v>
      </c>
      <c r="E10" s="309">
        <f>11.45</f>
        <v>11.45</v>
      </c>
      <c r="F10" s="310"/>
      <c r="G10" s="310">
        <f>'Phan tich don gia'!G14</f>
        <v>271013.408</v>
      </c>
      <c r="H10" s="310"/>
      <c r="I10" s="311">
        <f>E10*F10</f>
        <v>0</v>
      </c>
      <c r="J10" s="311">
        <f>E10*G10</f>
        <v>3103103.5215999996</v>
      </c>
      <c r="K10" s="312">
        <f>E10*H10</f>
        <v>0</v>
      </c>
    </row>
    <row r="11" spans="1:11" ht="15">
      <c r="A11" s="306" t="s">
        <v>15</v>
      </c>
      <c r="B11" s="307" t="s">
        <v>16</v>
      </c>
      <c r="C11" s="307" t="s">
        <v>17</v>
      </c>
      <c r="D11" s="308" t="s">
        <v>5</v>
      </c>
      <c r="E11" s="309">
        <v>239.19</v>
      </c>
      <c r="F11" s="310"/>
      <c r="G11" s="310">
        <f>'Phan tich don gia'!G19</f>
        <v>15583.27096</v>
      </c>
      <c r="H11" s="310">
        <f>'Phan tich don gia'!G21</f>
        <v>16705.1835</v>
      </c>
      <c r="I11" s="311">
        <f>E11*F11</f>
        <v>0</v>
      </c>
      <c r="J11" s="311">
        <f>E11*G11</f>
        <v>3727362.5809224</v>
      </c>
      <c r="K11" s="312">
        <f>E11*H11</f>
        <v>3995712.841365</v>
      </c>
    </row>
    <row r="12" spans="1:11" ht="14.25">
      <c r="A12" s="306" t="s">
        <v>0</v>
      </c>
      <c r="B12" s="307" t="s">
        <v>0</v>
      </c>
      <c r="C12" s="307" t="s">
        <v>18</v>
      </c>
      <c r="D12" s="308" t="s">
        <v>0</v>
      </c>
      <c r="E12" s="313"/>
      <c r="F12" s="310"/>
      <c r="G12" s="310"/>
      <c r="H12" s="310"/>
      <c r="I12" s="311"/>
      <c r="J12" s="311"/>
      <c r="K12" s="312"/>
    </row>
    <row r="13" spans="1:11" ht="15">
      <c r="A13" s="306" t="s">
        <v>20</v>
      </c>
      <c r="B13" s="307" t="s">
        <v>21</v>
      </c>
      <c r="C13" s="307" t="s">
        <v>22</v>
      </c>
      <c r="D13" s="308" t="s">
        <v>5</v>
      </c>
      <c r="E13" s="309">
        <v>5.62</v>
      </c>
      <c r="F13" s="310">
        <f>'Phan tich don gia'!G25</f>
        <v>248875.8</v>
      </c>
      <c r="G13" s="310">
        <f>'Phan tich don gia'!G27</f>
        <v>405179.156</v>
      </c>
      <c r="H13" s="310"/>
      <c r="I13" s="311">
        <f>E13*F13</f>
        <v>1398681.996</v>
      </c>
      <c r="J13" s="311">
        <f>E13*G13</f>
        <v>2277106.85672</v>
      </c>
      <c r="K13" s="312">
        <f>E13*H13</f>
        <v>0</v>
      </c>
    </row>
    <row r="14" spans="1:11" ht="15">
      <c r="A14" s="306" t="s">
        <v>28</v>
      </c>
      <c r="B14" s="307" t="s">
        <v>29</v>
      </c>
      <c r="C14" s="307" t="s">
        <v>30</v>
      </c>
      <c r="D14" s="308" t="s">
        <v>5</v>
      </c>
      <c r="E14" s="309">
        <f>8.65+38.5</f>
        <v>47.15</v>
      </c>
      <c r="F14" s="310">
        <f>'Phan tich don gia'!G32</f>
        <v>876635.61563</v>
      </c>
      <c r="G14" s="310">
        <f>'Phan tich don gia'!G38</f>
        <v>491790</v>
      </c>
      <c r="H14" s="310">
        <f>'Phan tich don gia'!G40</f>
        <v>54854.7824</v>
      </c>
      <c r="I14" s="311">
        <f>E14*F14</f>
        <v>41333369.2769545</v>
      </c>
      <c r="J14" s="311">
        <f>E14*G14</f>
        <v>23187898.5</v>
      </c>
      <c r="K14" s="312">
        <f>E14*H14</f>
        <v>2586402.9901599996</v>
      </c>
    </row>
    <row r="15" spans="1:11" ht="14.25">
      <c r="A15" s="306" t="s">
        <v>0</v>
      </c>
      <c r="B15" s="307" t="s">
        <v>0</v>
      </c>
      <c r="C15" s="307" t="s">
        <v>31</v>
      </c>
      <c r="D15" s="308" t="s">
        <v>0</v>
      </c>
      <c r="E15" s="313"/>
      <c r="F15" s="310"/>
      <c r="G15" s="310"/>
      <c r="H15" s="310"/>
      <c r="I15" s="311"/>
      <c r="J15" s="311"/>
      <c r="K15" s="312"/>
    </row>
    <row r="16" spans="1:11" ht="15">
      <c r="A16" s="306" t="s">
        <v>40</v>
      </c>
      <c r="B16" s="307" t="s">
        <v>41</v>
      </c>
      <c r="C16" s="307" t="s">
        <v>42</v>
      </c>
      <c r="D16" s="308" t="s">
        <v>43</v>
      </c>
      <c r="E16" s="309">
        <f>244.82+37.86</f>
        <v>282.68</v>
      </c>
      <c r="F16" s="310">
        <f>'Phan tich don gia'!G45</f>
        <v>29959.02938</v>
      </c>
      <c r="G16" s="310">
        <f>'Phan tich don gia'!G51</f>
        <v>78024.3645</v>
      </c>
      <c r="H16" s="310">
        <f>'Phan tich don gia'!G53</f>
        <v>6307.26129</v>
      </c>
      <c r="I16" s="311">
        <f>E16*F16</f>
        <v>8468818.4251384</v>
      </c>
      <c r="J16" s="311">
        <f>E16*G16</f>
        <v>22055927.35686</v>
      </c>
      <c r="K16" s="312">
        <f>E16*H16</f>
        <v>1782936.6214572</v>
      </c>
    </row>
    <row r="17" spans="1:11" ht="15">
      <c r="A17" s="306" t="s">
        <v>51</v>
      </c>
      <c r="B17" s="307" t="s">
        <v>52</v>
      </c>
      <c r="C17" s="307" t="s">
        <v>53</v>
      </c>
      <c r="D17" s="308" t="s">
        <v>5</v>
      </c>
      <c r="E17" s="309">
        <v>3.33</v>
      </c>
      <c r="F17" s="310">
        <f>'Phan tich don gia'!G59</f>
        <v>960350.59609</v>
      </c>
      <c r="G17" s="310">
        <f>'Phan tich don gia'!G65</f>
        <v>491790</v>
      </c>
      <c r="H17" s="310">
        <f>'Phan tich don gia'!G67</f>
        <v>54854.7824</v>
      </c>
      <c r="I17" s="311">
        <f>E17*F17</f>
        <v>3197967.4849797003</v>
      </c>
      <c r="J17" s="311">
        <f>E17*G17</f>
        <v>1637660.7</v>
      </c>
      <c r="K17" s="312">
        <f>E17*H17</f>
        <v>182666.425392</v>
      </c>
    </row>
    <row r="18" spans="1:11" ht="14.25">
      <c r="A18" s="306" t="s">
        <v>0</v>
      </c>
      <c r="B18" s="307" t="s">
        <v>0</v>
      </c>
      <c r="C18" s="307" t="s">
        <v>54</v>
      </c>
      <c r="D18" s="308" t="s">
        <v>0</v>
      </c>
      <c r="E18" s="313"/>
      <c r="F18" s="310"/>
      <c r="G18" s="310"/>
      <c r="H18" s="310"/>
      <c r="I18" s="311"/>
      <c r="J18" s="311"/>
      <c r="K18" s="312"/>
    </row>
    <row r="19" spans="1:11" ht="15">
      <c r="A19" s="306" t="s">
        <v>56</v>
      </c>
      <c r="B19" s="307" t="s">
        <v>57</v>
      </c>
      <c r="C19" s="307" t="s">
        <v>58</v>
      </c>
      <c r="D19" s="308" t="s">
        <v>59</v>
      </c>
      <c r="E19" s="309">
        <f>226.86/1000</f>
        <v>0.22686</v>
      </c>
      <c r="F19" s="310">
        <f>'Phan tich don gia'!G73</f>
        <v>15631992.43165</v>
      </c>
      <c r="G19" s="310">
        <f>'Phan tich don gia'!G76</f>
        <v>3881358</v>
      </c>
      <c r="H19" s="310">
        <f>'Phan tich don gia'!G78</f>
        <v>111957.68</v>
      </c>
      <c r="I19" s="311">
        <f>E19*F19</f>
        <v>3546273.803044119</v>
      </c>
      <c r="J19" s="311">
        <f>E19*G19</f>
        <v>880524.8758800001</v>
      </c>
      <c r="K19" s="312">
        <f>E19*H19</f>
        <v>25398.719284799998</v>
      </c>
    </row>
    <row r="20" spans="1:11" ht="15">
      <c r="A20" s="306" t="s">
        <v>0</v>
      </c>
      <c r="B20" s="307" t="s">
        <v>0</v>
      </c>
      <c r="C20" s="307" t="s">
        <v>60</v>
      </c>
      <c r="D20" s="308" t="s">
        <v>0</v>
      </c>
      <c r="E20" s="309"/>
      <c r="F20" s="310"/>
      <c r="G20" s="310"/>
      <c r="H20" s="310"/>
      <c r="I20" s="311"/>
      <c r="J20" s="311"/>
      <c r="K20" s="312"/>
    </row>
    <row r="21" spans="1:11" ht="15">
      <c r="A21" s="306" t="s">
        <v>64</v>
      </c>
      <c r="B21" s="307" t="s">
        <v>41</v>
      </c>
      <c r="C21" s="307" t="s">
        <v>65</v>
      </c>
      <c r="D21" s="308" t="s">
        <v>43</v>
      </c>
      <c r="E21" s="309">
        <v>32.7</v>
      </c>
      <c r="F21" s="310">
        <f>'Phan tich don gia'!G45</f>
        <v>29959.02938</v>
      </c>
      <c r="G21" s="310">
        <f>'Phan tich don gia'!G51</f>
        <v>78024.3645</v>
      </c>
      <c r="H21" s="310">
        <f>'Phan tich don gia'!G53</f>
        <v>6307.26129</v>
      </c>
      <c r="I21" s="311">
        <f>E21*F21</f>
        <v>979660.2607260001</v>
      </c>
      <c r="J21" s="311">
        <f>E21*G21</f>
        <v>2551396.7191500003</v>
      </c>
      <c r="K21" s="312">
        <f>E21*H21</f>
        <v>206247.44418300004</v>
      </c>
    </row>
    <row r="22" spans="1:11" ht="15">
      <c r="A22" s="306" t="s">
        <v>66</v>
      </c>
      <c r="B22" s="307" t="s">
        <v>67</v>
      </c>
      <c r="C22" s="307" t="s">
        <v>68</v>
      </c>
      <c r="D22" s="308" t="s">
        <v>69</v>
      </c>
      <c r="E22" s="309">
        <v>2.61</v>
      </c>
      <c r="F22" s="310">
        <f>'Phan tich don gia'!G83</f>
        <v>946273.49366</v>
      </c>
      <c r="G22" s="310">
        <f>'Phan tich don gia'!G89</f>
        <v>445116.479</v>
      </c>
      <c r="H22" s="310">
        <f>'Phan tich don gia'!G91</f>
        <v>30355.521</v>
      </c>
      <c r="I22" s="311">
        <f>E22*F22</f>
        <v>2469773.8184526</v>
      </c>
      <c r="J22" s="311">
        <f>E22*G22</f>
        <v>1161754.0101899998</v>
      </c>
      <c r="K22" s="312">
        <f>E22*H22</f>
        <v>79227.90981</v>
      </c>
    </row>
    <row r="23" spans="1:11" ht="15">
      <c r="A23" s="306" t="s">
        <v>71</v>
      </c>
      <c r="B23" s="307" t="s">
        <v>72</v>
      </c>
      <c r="C23" s="307" t="s">
        <v>73</v>
      </c>
      <c r="D23" s="308" t="s">
        <v>74</v>
      </c>
      <c r="E23" s="309">
        <f>303.21/1000</f>
        <v>0.30321</v>
      </c>
      <c r="F23" s="310">
        <f>'Phan tich don gia'!G96</f>
        <v>15860508.7366</v>
      </c>
      <c r="G23" s="310">
        <f>'Phan tich don gia'!G99</f>
        <v>4098250</v>
      </c>
      <c r="H23" s="310">
        <f>'Phan tich don gia'!G101</f>
        <v>111957.68</v>
      </c>
      <c r="I23" s="311">
        <f>E23*F23</f>
        <v>4809064.854024486</v>
      </c>
      <c r="J23" s="311">
        <f>E23*G23</f>
        <v>1242630.3824999998</v>
      </c>
      <c r="K23" s="312">
        <f>E23*H23</f>
        <v>33946.688152799994</v>
      </c>
    </row>
    <row r="24" spans="1:11" ht="15">
      <c r="A24" s="306" t="s">
        <v>0</v>
      </c>
      <c r="B24" s="307" t="s">
        <v>0</v>
      </c>
      <c r="C24" s="307" t="s">
        <v>60</v>
      </c>
      <c r="D24" s="308" t="s">
        <v>0</v>
      </c>
      <c r="E24" s="309"/>
      <c r="F24" s="310"/>
      <c r="G24" s="310"/>
      <c r="H24" s="310"/>
      <c r="I24" s="311"/>
      <c r="J24" s="311"/>
      <c r="K24" s="312"/>
    </row>
    <row r="25" spans="1:11" ht="15">
      <c r="A25" s="306" t="s">
        <v>76</v>
      </c>
      <c r="B25" s="307" t="s">
        <v>77</v>
      </c>
      <c r="C25" s="307" t="s">
        <v>73</v>
      </c>
      <c r="D25" s="308" t="s">
        <v>74</v>
      </c>
      <c r="E25" s="309">
        <f>54.18/1000</f>
        <v>0.05418</v>
      </c>
      <c r="F25" s="310">
        <f>'Phan tich don gia'!G106</f>
        <v>15817108.7366</v>
      </c>
      <c r="G25" s="310">
        <f>'Phan tich don gia'!G110</f>
        <v>3049098</v>
      </c>
      <c r="H25" s="310">
        <f>'Phan tich don gia'!G112</f>
        <v>966399.1351</v>
      </c>
      <c r="I25" s="311">
        <f>E25*F25</f>
        <v>856970.951348988</v>
      </c>
      <c r="J25" s="311">
        <f>E25*G25</f>
        <v>165200.12964</v>
      </c>
      <c r="K25" s="312">
        <f>E25*H25</f>
        <v>52359.505139718</v>
      </c>
    </row>
    <row r="26" spans="1:11" ht="14.25">
      <c r="A26" s="306" t="s">
        <v>0</v>
      </c>
      <c r="B26" s="307" t="s">
        <v>0</v>
      </c>
      <c r="C26" s="307" t="s">
        <v>78</v>
      </c>
      <c r="D26" s="308" t="s">
        <v>0</v>
      </c>
      <c r="E26" s="313"/>
      <c r="F26" s="310"/>
      <c r="G26" s="310"/>
      <c r="H26" s="310"/>
      <c r="I26" s="311"/>
      <c r="J26" s="311"/>
      <c r="K26" s="312"/>
    </row>
    <row r="27" spans="1:11" ht="15">
      <c r="A27" s="306" t="s">
        <v>80</v>
      </c>
      <c r="B27" s="307" t="s">
        <v>81</v>
      </c>
      <c r="C27" s="307" t="s">
        <v>82</v>
      </c>
      <c r="D27" s="308" t="s">
        <v>43</v>
      </c>
      <c r="E27" s="309">
        <f>12.92</f>
        <v>12.92</v>
      </c>
      <c r="F27" s="310">
        <f>'Phan tich don gia'!G117</f>
        <v>7865.66918</v>
      </c>
      <c r="G27" s="310">
        <f>'Phan tich don gia'!G122</f>
        <v>63131.29282</v>
      </c>
      <c r="H27" s="310">
        <f>'Phan tich don gia'!G124</f>
        <v>1428.40917</v>
      </c>
      <c r="I27" s="311">
        <f>E27*F27</f>
        <v>101624.4458056</v>
      </c>
      <c r="J27" s="311">
        <f>E27*G27</f>
        <v>815656.3032344</v>
      </c>
      <c r="K27" s="312">
        <f>E27*H27</f>
        <v>18455.0464764</v>
      </c>
    </row>
    <row r="28" spans="1:11" ht="15">
      <c r="A28" s="306" t="s">
        <v>83</v>
      </c>
      <c r="B28" s="307" t="s">
        <v>84</v>
      </c>
      <c r="C28" s="307" t="s">
        <v>85</v>
      </c>
      <c r="D28" s="308" t="s">
        <v>86</v>
      </c>
      <c r="E28" s="309">
        <v>45</v>
      </c>
      <c r="F28" s="310"/>
      <c r="G28" s="310">
        <f>'Phan tich don gia'!G129</f>
        <v>6918.909</v>
      </c>
      <c r="H28" s="310">
        <f>'Phan tich don gia'!G131</f>
        <v>23823.462</v>
      </c>
      <c r="I28" s="311">
        <f>E28*F28</f>
        <v>0</v>
      </c>
      <c r="J28" s="311">
        <f>E28*G28</f>
        <v>311350.90499999997</v>
      </c>
      <c r="K28" s="312">
        <f>E28*H28</f>
        <v>1072055.79</v>
      </c>
    </row>
    <row r="29" spans="1:11" ht="15">
      <c r="A29" s="306" t="s">
        <v>88</v>
      </c>
      <c r="B29" s="307" t="s">
        <v>89</v>
      </c>
      <c r="C29" s="307" t="s">
        <v>90</v>
      </c>
      <c r="D29" s="308" t="s">
        <v>5</v>
      </c>
      <c r="E29" s="309">
        <v>5</v>
      </c>
      <c r="F29" s="310">
        <f>'Phan tich don gia'!G136</f>
        <v>960350.59609</v>
      </c>
      <c r="G29" s="310">
        <f>'Phan tich don gia'!G142</f>
        <v>418652</v>
      </c>
      <c r="H29" s="310">
        <f>'Phan tich don gia'!G144</f>
        <v>54854.7824</v>
      </c>
      <c r="I29" s="311">
        <f>E29*F29</f>
        <v>4801752.98045</v>
      </c>
      <c r="J29" s="311">
        <f>E29*G29</f>
        <v>2093260</v>
      </c>
      <c r="K29" s="312">
        <f>E29*H29</f>
        <v>274273.912</v>
      </c>
    </row>
    <row r="30" spans="1:11" ht="14.25">
      <c r="A30" s="306" t="s">
        <v>0</v>
      </c>
      <c r="B30" s="307" t="s">
        <v>0</v>
      </c>
      <c r="C30" s="307" t="s">
        <v>54</v>
      </c>
      <c r="D30" s="308" t="s">
        <v>0</v>
      </c>
      <c r="E30" s="313"/>
      <c r="F30" s="310"/>
      <c r="G30" s="310"/>
      <c r="H30" s="310"/>
      <c r="I30" s="311"/>
      <c r="J30" s="311"/>
      <c r="K30" s="312"/>
    </row>
    <row r="31" spans="1:11" ht="15">
      <c r="A31" s="306" t="s">
        <v>91</v>
      </c>
      <c r="B31" s="307" t="s">
        <v>92</v>
      </c>
      <c r="C31" s="307" t="s">
        <v>93</v>
      </c>
      <c r="D31" s="308" t="s">
        <v>43</v>
      </c>
      <c r="E31" s="309">
        <v>75.14</v>
      </c>
      <c r="F31" s="310">
        <f>'Phan tich don gia'!G149</f>
        <v>17634.60392</v>
      </c>
      <c r="G31" s="310">
        <f>'Phan tich don gia'!G154</f>
        <v>31100.23792</v>
      </c>
      <c r="H31" s="310">
        <f>'Phan tich don gia'!G156</f>
        <v>3153.63065</v>
      </c>
      <c r="I31" s="311">
        <f>E31*F31</f>
        <v>1325064.1385488</v>
      </c>
      <c r="J31" s="311">
        <f>E31*G31</f>
        <v>2336871.8773088</v>
      </c>
      <c r="K31" s="312">
        <f>E31*H31</f>
        <v>236963.807041</v>
      </c>
    </row>
    <row r="32" spans="1:11" ht="15">
      <c r="A32" s="306" t="s">
        <v>94</v>
      </c>
      <c r="B32" s="307" t="s">
        <v>95</v>
      </c>
      <c r="C32" s="307" t="s">
        <v>96</v>
      </c>
      <c r="D32" s="308" t="s">
        <v>97</v>
      </c>
      <c r="E32" s="309">
        <v>103.5</v>
      </c>
      <c r="F32" s="310">
        <f>'Phan tich don gia'!G161</f>
        <v>401890.7248</v>
      </c>
      <c r="G32" s="310">
        <f>'Phan tich don gia'!G166</f>
        <v>32231.16</v>
      </c>
      <c r="H32" s="310"/>
      <c r="I32" s="311">
        <f>E32*F32</f>
        <v>41595690.0168</v>
      </c>
      <c r="J32" s="311">
        <f>E32*G32</f>
        <v>3335925.06</v>
      </c>
      <c r="K32" s="312">
        <f>E32*H32</f>
        <v>0</v>
      </c>
    </row>
    <row r="33" spans="1:11" ht="15">
      <c r="A33" s="306" t="s">
        <v>103</v>
      </c>
      <c r="B33" s="307" t="s">
        <v>104</v>
      </c>
      <c r="C33" s="307" t="s">
        <v>105</v>
      </c>
      <c r="D33" s="308" t="s">
        <v>5</v>
      </c>
      <c r="E33" s="309">
        <v>3.64</v>
      </c>
      <c r="F33" s="310">
        <f>'Phan tich don gia'!G171</f>
        <v>306562.698</v>
      </c>
      <c r="G33" s="310">
        <f>'Phan tich don gia'!G173</f>
        <v>9135.77456</v>
      </c>
      <c r="H33" s="310">
        <f>'Phan tich don gia'!G175</f>
        <v>7819.25575</v>
      </c>
      <c r="I33" s="311">
        <f>E33*F33</f>
        <v>1115888.2207199999</v>
      </c>
      <c r="J33" s="311">
        <f>E33*G33</f>
        <v>33254.219398400004</v>
      </c>
      <c r="K33" s="312">
        <f>E33*H33</f>
        <v>28462.090930000002</v>
      </c>
    </row>
    <row r="34" spans="1:11" ht="14.25">
      <c r="A34" s="306" t="s">
        <v>0</v>
      </c>
      <c r="B34" s="307" t="s">
        <v>0</v>
      </c>
      <c r="C34" s="307" t="s">
        <v>106</v>
      </c>
      <c r="D34" s="308" t="s">
        <v>0</v>
      </c>
      <c r="E34" s="313"/>
      <c r="F34" s="310"/>
      <c r="G34" s="310"/>
      <c r="H34" s="310"/>
      <c r="I34" s="311"/>
      <c r="J34" s="311"/>
      <c r="K34" s="312"/>
    </row>
    <row r="35" spans="1:11" ht="15">
      <c r="A35" s="306" t="s">
        <v>108</v>
      </c>
      <c r="B35" s="307" t="s">
        <v>67</v>
      </c>
      <c r="C35" s="307" t="s">
        <v>568</v>
      </c>
      <c r="D35" s="308" t="s">
        <v>69</v>
      </c>
      <c r="E35" s="309">
        <v>0.83</v>
      </c>
      <c r="F35" s="310">
        <f>'Phan tich don gia'!G83</f>
        <v>946273.49366</v>
      </c>
      <c r="G35" s="310">
        <f>'Phan tich don gia'!G89</f>
        <v>445116.479</v>
      </c>
      <c r="H35" s="310">
        <f>'Phan tich don gia'!G91</f>
        <v>30355.521</v>
      </c>
      <c r="I35" s="311">
        <f>E35*F35</f>
        <v>785406.9997378</v>
      </c>
      <c r="J35" s="311">
        <f>E35*G35</f>
        <v>369446.67757</v>
      </c>
      <c r="K35" s="312">
        <f>E35*H35</f>
        <v>25195.08243</v>
      </c>
    </row>
    <row r="36" spans="1:11" ht="15">
      <c r="A36" s="306"/>
      <c r="B36" s="307"/>
      <c r="C36" s="307" t="s">
        <v>569</v>
      </c>
      <c r="D36" s="308"/>
      <c r="E36" s="309"/>
      <c r="F36" s="310"/>
      <c r="G36" s="310"/>
      <c r="H36" s="310"/>
      <c r="I36" s="311"/>
      <c r="J36" s="311"/>
      <c r="K36" s="312"/>
    </row>
    <row r="37" spans="1:11" ht="15">
      <c r="A37" s="306" t="s">
        <v>110</v>
      </c>
      <c r="B37" s="307" t="s">
        <v>77</v>
      </c>
      <c r="C37" s="307" t="s">
        <v>111</v>
      </c>
      <c r="D37" s="308" t="s">
        <v>74</v>
      </c>
      <c r="E37" s="309">
        <f>164.58/1000</f>
        <v>0.16458</v>
      </c>
      <c r="F37" s="310">
        <f>'Phan tich don gia'!G106</f>
        <v>15817108.7366</v>
      </c>
      <c r="G37" s="310">
        <f>'Phan tich don gia'!G110</f>
        <v>3049098</v>
      </c>
      <c r="H37" s="310">
        <f>'Phan tich don gia'!G112</f>
        <v>966399.1351</v>
      </c>
      <c r="I37" s="311">
        <f>E37*F37</f>
        <v>2603179.755869628</v>
      </c>
      <c r="J37" s="311">
        <f>E37*G37</f>
        <v>501820.54884</v>
      </c>
      <c r="K37" s="312">
        <f>E37*H37</f>
        <v>159049.969654758</v>
      </c>
    </row>
    <row r="38" spans="1:11" ht="15">
      <c r="A38" s="306" t="s">
        <v>0</v>
      </c>
      <c r="B38" s="307" t="s">
        <v>0</v>
      </c>
      <c r="C38" s="307" t="s">
        <v>564</v>
      </c>
      <c r="D38" s="308" t="s">
        <v>0</v>
      </c>
      <c r="E38" s="309"/>
      <c r="F38" s="310"/>
      <c r="G38" s="310"/>
      <c r="H38" s="310"/>
      <c r="I38" s="311"/>
      <c r="J38" s="311"/>
      <c r="K38" s="312"/>
    </row>
    <row r="39" spans="1:11" ht="15">
      <c r="A39" s="306" t="s">
        <v>113</v>
      </c>
      <c r="B39" s="307" t="s">
        <v>81</v>
      </c>
      <c r="C39" s="307" t="s">
        <v>114</v>
      </c>
      <c r="D39" s="308" t="s">
        <v>43</v>
      </c>
      <c r="E39" s="309">
        <v>16.64</v>
      </c>
      <c r="F39" s="310">
        <f>'Phan tich don gia'!G117</f>
        <v>7865.66918</v>
      </c>
      <c r="G39" s="310">
        <f>'Phan tich don gia'!G122</f>
        <v>63131.29282</v>
      </c>
      <c r="H39" s="310">
        <f>'Phan tich don gia'!G124</f>
        <v>1428.40917</v>
      </c>
      <c r="I39" s="311">
        <f>E39*F39</f>
        <v>130884.7351552</v>
      </c>
      <c r="J39" s="311">
        <f>E39*G39</f>
        <v>1050504.7125248</v>
      </c>
      <c r="K39" s="312">
        <f>E39*H39</f>
        <v>23768.7285888</v>
      </c>
    </row>
    <row r="40" spans="1:11" ht="15">
      <c r="A40" s="306" t="s">
        <v>115</v>
      </c>
      <c r="B40" s="307" t="s">
        <v>84</v>
      </c>
      <c r="C40" s="307" t="s">
        <v>116</v>
      </c>
      <c r="D40" s="308" t="s">
        <v>86</v>
      </c>
      <c r="E40" s="309">
        <v>26</v>
      </c>
      <c r="F40" s="310"/>
      <c r="G40" s="310">
        <f>'Phan tich don gia'!G129</f>
        <v>6918.909</v>
      </c>
      <c r="H40" s="310">
        <f>'Phan tich don gia'!G131</f>
        <v>23823.462</v>
      </c>
      <c r="I40" s="311">
        <f>E40*F40</f>
        <v>0</v>
      </c>
      <c r="J40" s="311">
        <f>E40*G40</f>
        <v>179891.634</v>
      </c>
      <c r="K40" s="312">
        <f>E40*H40</f>
        <v>619410.012</v>
      </c>
    </row>
    <row r="41" spans="1:11" s="332" customFormat="1" ht="15">
      <c r="A41" s="306" t="s">
        <v>118</v>
      </c>
      <c r="B41" s="307" t="s">
        <v>119</v>
      </c>
      <c r="C41" s="307" t="s">
        <v>120</v>
      </c>
      <c r="D41" s="308" t="s">
        <v>121</v>
      </c>
      <c r="E41" s="314">
        <v>2.88</v>
      </c>
      <c r="F41" s="310">
        <f>'Phan tich don gia'!G180</f>
        <v>239160</v>
      </c>
      <c r="G41" s="310">
        <f>'Phan tich don gia'!G183</f>
        <v>138710</v>
      </c>
      <c r="H41" s="310">
        <f>'Phan tich don gia'!G185</f>
        <v>68187.416</v>
      </c>
      <c r="I41" s="311">
        <f>E41*F41</f>
        <v>688780.7999999999</v>
      </c>
      <c r="J41" s="311">
        <f>E41*G41</f>
        <v>399484.8</v>
      </c>
      <c r="K41" s="312">
        <f>E41*H41</f>
        <v>196379.75808</v>
      </c>
    </row>
    <row r="42" spans="1:11" ht="14.25">
      <c r="A42" s="306" t="s">
        <v>0</v>
      </c>
      <c r="B42" s="307" t="s">
        <v>0</v>
      </c>
      <c r="C42" s="307" t="s">
        <v>0</v>
      </c>
      <c r="D42" s="308" t="s">
        <v>0</v>
      </c>
      <c r="E42" s="313"/>
      <c r="F42" s="310"/>
      <c r="G42" s="310"/>
      <c r="H42" s="310"/>
      <c r="I42" s="311"/>
      <c r="J42" s="311"/>
      <c r="K42" s="312"/>
    </row>
    <row r="43" spans="1:11" ht="14.25">
      <c r="A43" s="315" t="s">
        <v>11</v>
      </c>
      <c r="B43" s="316" t="s">
        <v>0</v>
      </c>
      <c r="C43" s="316" t="s">
        <v>636</v>
      </c>
      <c r="D43" s="317" t="s">
        <v>0</v>
      </c>
      <c r="E43" s="318"/>
      <c r="F43" s="319"/>
      <c r="G43" s="319"/>
      <c r="H43" s="319"/>
      <c r="I43" s="320">
        <f>SUM(I44:I71)</f>
        <v>359844824.2217436</v>
      </c>
      <c r="J43" s="320">
        <f>SUM(J44:J71)</f>
        <v>110816504.5727334</v>
      </c>
      <c r="K43" s="321">
        <f>SUM(K44:K71)</f>
        <v>72370880.5734333</v>
      </c>
    </row>
    <row r="44" spans="1:11" ht="15">
      <c r="A44" s="322">
        <v>24</v>
      </c>
      <c r="B44" s="307" t="s">
        <v>119</v>
      </c>
      <c r="C44" s="307" t="s">
        <v>120</v>
      </c>
      <c r="D44" s="308" t="s">
        <v>121</v>
      </c>
      <c r="E44" s="309">
        <v>2.4</v>
      </c>
      <c r="F44" s="310">
        <f>'Phan tich don gia'!G180</f>
        <v>239160</v>
      </c>
      <c r="G44" s="310">
        <f>'Phan tich don gia'!G183</f>
        <v>138710</v>
      </c>
      <c r="H44" s="310">
        <f>'Phan tich don gia'!G185</f>
        <v>68187.416</v>
      </c>
      <c r="I44" s="311">
        <f>E44*F44</f>
        <v>573984</v>
      </c>
      <c r="J44" s="311">
        <f>E44*G44</f>
        <v>332904</v>
      </c>
      <c r="K44" s="312">
        <f>E44*H44</f>
        <v>163649.7984</v>
      </c>
    </row>
    <row r="45" spans="1:11" ht="15">
      <c r="A45" s="322">
        <v>25</v>
      </c>
      <c r="B45" s="307" t="s">
        <v>126</v>
      </c>
      <c r="C45" s="307" t="s">
        <v>127</v>
      </c>
      <c r="D45" s="308" t="s">
        <v>5</v>
      </c>
      <c r="E45" s="309">
        <v>10.5</v>
      </c>
      <c r="F45" s="310"/>
      <c r="G45" s="310">
        <f>'Phan tich don gia'!G189</f>
        <v>10512.69752</v>
      </c>
      <c r="H45" s="310">
        <f>'Phan tich don gia'!G191</f>
        <v>15699.17232</v>
      </c>
      <c r="I45" s="311">
        <f>E45*F45</f>
        <v>0</v>
      </c>
      <c r="J45" s="311">
        <f>E45*G45</f>
        <v>110383.32396</v>
      </c>
      <c r="K45" s="312">
        <f>E45*H45</f>
        <v>164841.30935999998</v>
      </c>
    </row>
    <row r="46" spans="1:11" ht="15">
      <c r="A46" s="306">
        <v>26</v>
      </c>
      <c r="B46" s="307" t="s">
        <v>3</v>
      </c>
      <c r="C46" s="307" t="s">
        <v>456</v>
      </c>
      <c r="D46" s="308" t="s">
        <v>5</v>
      </c>
      <c r="E46" s="309">
        <v>1475.85</v>
      </c>
      <c r="F46" s="310"/>
      <c r="G46" s="310">
        <f>'Phan tich don gia'!G8</f>
        <v>10075.57912</v>
      </c>
      <c r="H46" s="310">
        <f>'Phan tich don gia'!G10</f>
        <v>16022.14134</v>
      </c>
      <c r="I46" s="311">
        <f>E46*F46</f>
        <v>0</v>
      </c>
      <c r="J46" s="311">
        <f>E46*G46</f>
        <v>14870043.444252</v>
      </c>
      <c r="K46" s="312">
        <f>E46*H46</f>
        <v>23646277.296639</v>
      </c>
    </row>
    <row r="47" spans="1:11" ht="15">
      <c r="A47" s="306">
        <v>27</v>
      </c>
      <c r="B47" s="307" t="s">
        <v>16</v>
      </c>
      <c r="C47" s="307" t="s">
        <v>17</v>
      </c>
      <c r="D47" s="308" t="s">
        <v>5</v>
      </c>
      <c r="E47" s="309">
        <v>1258.71</v>
      </c>
      <c r="F47" s="310"/>
      <c r="G47" s="310">
        <f>'Phan tich don gia'!G19</f>
        <v>15583.27096</v>
      </c>
      <c r="H47" s="310">
        <f>'Phan tich don gia'!G21</f>
        <v>16705.1835</v>
      </c>
      <c r="I47" s="311">
        <f>E47*F47</f>
        <v>0</v>
      </c>
      <c r="J47" s="311">
        <f>E47*G47</f>
        <v>19614818.9900616</v>
      </c>
      <c r="K47" s="312">
        <f>E47*H47</f>
        <v>21026981.523284998</v>
      </c>
    </row>
    <row r="48" spans="1:11" ht="15">
      <c r="A48" s="306" t="s">
        <v>0</v>
      </c>
      <c r="B48" s="307" t="s">
        <v>0</v>
      </c>
      <c r="C48" s="307" t="s">
        <v>18</v>
      </c>
      <c r="D48" s="308" t="s">
        <v>0</v>
      </c>
      <c r="E48" s="309"/>
      <c r="F48" s="310"/>
      <c r="G48" s="310"/>
      <c r="H48" s="310"/>
      <c r="I48" s="311"/>
      <c r="J48" s="311"/>
      <c r="K48" s="312"/>
    </row>
    <row r="49" spans="1:11" ht="15">
      <c r="A49" s="306">
        <v>28</v>
      </c>
      <c r="B49" s="307" t="s">
        <v>21</v>
      </c>
      <c r="C49" s="307" t="s">
        <v>22</v>
      </c>
      <c r="D49" s="308" t="s">
        <v>5</v>
      </c>
      <c r="E49" s="309">
        <v>35.39</v>
      </c>
      <c r="F49" s="310">
        <f>'Phan tich don gia'!G25</f>
        <v>248875.8</v>
      </c>
      <c r="G49" s="310">
        <f>'Phan tich don gia'!G27</f>
        <v>405179.156</v>
      </c>
      <c r="H49" s="310"/>
      <c r="I49" s="311">
        <f>E49*F49</f>
        <v>8807714.561999999</v>
      </c>
      <c r="J49" s="311">
        <f>E49*G49</f>
        <v>14339290.33084</v>
      </c>
      <c r="K49" s="312">
        <f>E49*H49</f>
        <v>0</v>
      </c>
    </row>
    <row r="50" spans="1:11" s="198" customFormat="1" ht="15">
      <c r="A50" s="306">
        <v>29</v>
      </c>
      <c r="B50" s="307" t="s">
        <v>138</v>
      </c>
      <c r="C50" s="307" t="s">
        <v>535</v>
      </c>
      <c r="D50" s="308" t="s">
        <v>140</v>
      </c>
      <c r="E50" s="309">
        <v>432</v>
      </c>
      <c r="F50" s="310">
        <f>'Phan tich don gia'!G196</f>
        <v>180000</v>
      </c>
      <c r="G50" s="310">
        <f>'Phan tich don gia'!G198</f>
        <v>27742</v>
      </c>
      <c r="H50" s="310"/>
      <c r="I50" s="311">
        <f>E50*F50</f>
        <v>77760000</v>
      </c>
      <c r="J50" s="311">
        <f>E50*G50</f>
        <v>11984544</v>
      </c>
      <c r="K50" s="312">
        <f>E50*H50</f>
        <v>0</v>
      </c>
    </row>
    <row r="51" spans="1:11" ht="15">
      <c r="A51" s="306">
        <v>30</v>
      </c>
      <c r="B51" s="307" t="s">
        <v>143</v>
      </c>
      <c r="C51" s="307" t="s">
        <v>144</v>
      </c>
      <c r="D51" s="308" t="s">
        <v>97</v>
      </c>
      <c r="E51" s="309">
        <v>58</v>
      </c>
      <c r="F51" s="310">
        <f>'Phan tich don gia'!G203</f>
        <v>488763.32673</v>
      </c>
      <c r="G51" s="310">
        <f>'Phan tich don gia'!G206</f>
        <v>38334.4</v>
      </c>
      <c r="H51" s="310">
        <f>'Phan tich don gia'!G208</f>
        <v>46579.16978</v>
      </c>
      <c r="I51" s="311">
        <f>E51*F51</f>
        <v>28348272.95034</v>
      </c>
      <c r="J51" s="311">
        <f>E51*G51</f>
        <v>2223395.2</v>
      </c>
      <c r="K51" s="312">
        <f>E51*H51</f>
        <v>2701591.84724</v>
      </c>
    </row>
    <row r="52" spans="1:11" ht="15">
      <c r="A52" s="306" t="s">
        <v>0</v>
      </c>
      <c r="B52" s="307" t="s">
        <v>0</v>
      </c>
      <c r="C52" s="307" t="s">
        <v>145</v>
      </c>
      <c r="D52" s="308" t="s">
        <v>0</v>
      </c>
      <c r="E52" s="309"/>
      <c r="F52" s="310"/>
      <c r="G52" s="310"/>
      <c r="H52" s="310"/>
      <c r="I52" s="311"/>
      <c r="J52" s="311"/>
      <c r="K52" s="312"/>
    </row>
    <row r="53" spans="1:11" ht="15">
      <c r="A53" s="306">
        <v>31</v>
      </c>
      <c r="B53" s="307" t="s">
        <v>149</v>
      </c>
      <c r="C53" s="307" t="s">
        <v>144</v>
      </c>
      <c r="D53" s="308" t="s">
        <v>97</v>
      </c>
      <c r="E53" s="309">
        <v>441.5</v>
      </c>
      <c r="F53" s="310">
        <f>'Phan tich don gia'!G214</f>
        <v>417227.57673</v>
      </c>
      <c r="G53" s="310">
        <f>'Phan tich don gia'!G217</f>
        <v>38334.4</v>
      </c>
      <c r="H53" s="310">
        <f>'Phan tich don gia'!G219</f>
        <v>46579.16978</v>
      </c>
      <c r="I53" s="311">
        <f>E53*F53</f>
        <v>184205975.126295</v>
      </c>
      <c r="J53" s="311">
        <f>E53*G53</f>
        <v>16924637.6</v>
      </c>
      <c r="K53" s="312">
        <f>E53*H53</f>
        <v>20564703.45787</v>
      </c>
    </row>
    <row r="54" spans="1:11" ht="14.25">
      <c r="A54" s="306" t="s">
        <v>0</v>
      </c>
      <c r="B54" s="307" t="s">
        <v>0</v>
      </c>
      <c r="C54" s="307" t="s">
        <v>151</v>
      </c>
      <c r="D54" s="308" t="s">
        <v>0</v>
      </c>
      <c r="E54" s="313"/>
      <c r="F54" s="310"/>
      <c r="G54" s="310"/>
      <c r="H54" s="310"/>
      <c r="I54" s="311"/>
      <c r="J54" s="311"/>
      <c r="K54" s="312"/>
    </row>
    <row r="55" spans="1:11" s="191" customFormat="1" ht="28.5">
      <c r="A55" s="306">
        <v>32</v>
      </c>
      <c r="B55" s="307" t="s">
        <v>591</v>
      </c>
      <c r="C55" s="307" t="s">
        <v>592</v>
      </c>
      <c r="D55" s="323" t="s">
        <v>536</v>
      </c>
      <c r="E55" s="309">
        <v>185</v>
      </c>
      <c r="F55" s="310">
        <f>'Phan tich don gia'!G225</f>
        <v>75990</v>
      </c>
      <c r="G55" s="310">
        <f>'Phan tich don gia'!G228</f>
        <v>22698</v>
      </c>
      <c r="H55" s="310"/>
      <c r="I55" s="311">
        <f>E55*F55</f>
        <v>14058150</v>
      </c>
      <c r="J55" s="311">
        <f>E55*G55</f>
        <v>4199130</v>
      </c>
      <c r="K55" s="312">
        <f>E55*H55</f>
        <v>0</v>
      </c>
    </row>
    <row r="56" spans="1:11" s="191" customFormat="1" ht="15">
      <c r="A56" s="306" t="s">
        <v>0</v>
      </c>
      <c r="B56" s="307" t="s">
        <v>0</v>
      </c>
      <c r="C56" s="307" t="s">
        <v>157</v>
      </c>
      <c r="D56" s="308" t="s">
        <v>0</v>
      </c>
      <c r="E56" s="309"/>
      <c r="F56" s="310"/>
      <c r="G56" s="310"/>
      <c r="H56" s="310"/>
      <c r="I56" s="311"/>
      <c r="J56" s="311"/>
      <c r="K56" s="312"/>
    </row>
    <row r="57" spans="1:11" ht="15">
      <c r="A57" s="306">
        <v>33</v>
      </c>
      <c r="B57" s="307" t="s">
        <v>3</v>
      </c>
      <c r="C57" s="307" t="s">
        <v>457</v>
      </c>
      <c r="D57" s="308" t="s">
        <v>5</v>
      </c>
      <c r="E57" s="309">
        <v>40</v>
      </c>
      <c r="F57" s="310"/>
      <c r="G57" s="310">
        <f>'Phan tich don gia'!G8</f>
        <v>10075.57912</v>
      </c>
      <c r="H57" s="310">
        <f>'Phan tich don gia'!G10</f>
        <v>16022.14134</v>
      </c>
      <c r="I57" s="311">
        <f>E57*F57</f>
        <v>0</v>
      </c>
      <c r="J57" s="311">
        <f>E57*G57</f>
        <v>403023.1648</v>
      </c>
      <c r="K57" s="312">
        <f>E57*H57</f>
        <v>640885.6536</v>
      </c>
    </row>
    <row r="58" spans="1:11" s="191" customFormat="1" ht="15">
      <c r="A58" s="306">
        <v>34</v>
      </c>
      <c r="B58" s="307" t="s">
        <v>165</v>
      </c>
      <c r="C58" s="307" t="s">
        <v>166</v>
      </c>
      <c r="D58" s="308" t="s">
        <v>167</v>
      </c>
      <c r="E58" s="309">
        <v>40</v>
      </c>
      <c r="F58" s="310">
        <f>'Phan tich don gia'!G232</f>
        <v>181636.00182</v>
      </c>
      <c r="G58" s="310">
        <f>'Phan tich don gia'!G241</f>
        <v>143878</v>
      </c>
      <c r="H58" s="310"/>
      <c r="I58" s="311">
        <f>E58*F58</f>
        <v>7265440.0728</v>
      </c>
      <c r="J58" s="311">
        <f>E58*G58</f>
        <v>5755120</v>
      </c>
      <c r="K58" s="312">
        <f>E58*H58</f>
        <v>0</v>
      </c>
    </row>
    <row r="59" spans="1:11" s="191" customFormat="1" ht="15">
      <c r="A59" s="306">
        <v>35</v>
      </c>
      <c r="B59" s="307" t="s">
        <v>177</v>
      </c>
      <c r="C59" s="307" t="s">
        <v>178</v>
      </c>
      <c r="D59" s="308" t="s">
        <v>179</v>
      </c>
      <c r="E59" s="309">
        <v>40</v>
      </c>
      <c r="F59" s="310">
        <f>'Phan tich don gia'!G245</f>
        <v>9000</v>
      </c>
      <c r="G59" s="310">
        <f>'Phan tich don gia'!G247</f>
        <v>166105</v>
      </c>
      <c r="H59" s="310">
        <f>'Phan tich don gia'!G249</f>
        <v>47019.0756</v>
      </c>
      <c r="I59" s="311">
        <f>E59*F59</f>
        <v>360000</v>
      </c>
      <c r="J59" s="311">
        <f>E59*G59</f>
        <v>6644200</v>
      </c>
      <c r="K59" s="312">
        <f>E59*H59</f>
        <v>1880763.0239999997</v>
      </c>
    </row>
    <row r="60" spans="1:11" ht="15">
      <c r="A60" s="306">
        <v>36</v>
      </c>
      <c r="B60" s="307" t="s">
        <v>181</v>
      </c>
      <c r="C60" s="307" t="s">
        <v>182</v>
      </c>
      <c r="D60" s="308" t="s">
        <v>5</v>
      </c>
      <c r="E60" s="314">
        <v>7.1</v>
      </c>
      <c r="F60" s="310">
        <f>'Phan tich don gia'!G254</f>
        <v>1083373.89902</v>
      </c>
      <c r="G60" s="310">
        <f>'Phan tich don gia'!G262</f>
        <v>345514</v>
      </c>
      <c r="H60" s="310">
        <f>'Phan tich don gia'!G264</f>
        <v>80575.76241</v>
      </c>
      <c r="I60" s="311">
        <f>E60*F60</f>
        <v>7691954.683041999</v>
      </c>
      <c r="J60" s="311">
        <f>E60*G60</f>
        <v>2453149.4</v>
      </c>
      <c r="K60" s="312">
        <f>E60*H60</f>
        <v>572087.913111</v>
      </c>
    </row>
    <row r="61" spans="1:11" ht="15">
      <c r="A61" s="306" t="s">
        <v>0</v>
      </c>
      <c r="B61" s="307" t="s">
        <v>0</v>
      </c>
      <c r="C61" s="307" t="s">
        <v>54</v>
      </c>
      <c r="D61" s="308" t="s">
        <v>0</v>
      </c>
      <c r="E61" s="309"/>
      <c r="F61" s="310"/>
      <c r="G61" s="310"/>
      <c r="H61" s="310"/>
      <c r="I61" s="311"/>
      <c r="J61" s="311"/>
      <c r="K61" s="312"/>
    </row>
    <row r="62" spans="1:11" ht="15">
      <c r="A62" s="306">
        <v>37</v>
      </c>
      <c r="B62" s="307" t="s">
        <v>187</v>
      </c>
      <c r="C62" s="307" t="s">
        <v>188</v>
      </c>
      <c r="D62" s="308" t="s">
        <v>43</v>
      </c>
      <c r="E62" s="314">
        <v>35.5</v>
      </c>
      <c r="F62" s="310">
        <f>'Phan tich don gia'!G271</f>
        <v>0</v>
      </c>
      <c r="G62" s="310">
        <f>'Phan tich don gia'!G274</f>
        <v>378.3</v>
      </c>
      <c r="H62" s="310"/>
      <c r="I62" s="311">
        <f>E62*F62</f>
        <v>0</v>
      </c>
      <c r="J62" s="311">
        <f>E62*G62</f>
        <v>13429.65</v>
      </c>
      <c r="K62" s="312">
        <f>E62*H62</f>
        <v>0</v>
      </c>
    </row>
    <row r="63" spans="1:11" ht="15">
      <c r="A63" s="306">
        <v>38</v>
      </c>
      <c r="B63" s="307" t="s">
        <v>192</v>
      </c>
      <c r="C63" s="307" t="s">
        <v>193</v>
      </c>
      <c r="D63" s="308" t="s">
        <v>5</v>
      </c>
      <c r="E63" s="314">
        <v>5.33</v>
      </c>
      <c r="F63" s="310">
        <f>'Phan tich don gia'!G278</f>
        <v>277911.31</v>
      </c>
      <c r="G63" s="310">
        <f>'Phan tich don gia'!G280</f>
        <v>8118.18656</v>
      </c>
      <c r="H63" s="310">
        <f>'Phan tich don gia'!G282</f>
        <v>24019.61877</v>
      </c>
      <c r="I63" s="311">
        <f>E63*F63</f>
        <v>1481267.2823</v>
      </c>
      <c r="J63" s="311">
        <f>E63*G63</f>
        <v>43269.9343648</v>
      </c>
      <c r="K63" s="312">
        <f>E63*H63</f>
        <v>128024.5680441</v>
      </c>
    </row>
    <row r="64" spans="1:11" ht="15">
      <c r="A64" s="306">
        <v>39</v>
      </c>
      <c r="B64" s="307" t="s">
        <v>200</v>
      </c>
      <c r="C64" s="307" t="s">
        <v>201</v>
      </c>
      <c r="D64" s="308" t="s">
        <v>43</v>
      </c>
      <c r="E64" s="314">
        <v>5.68</v>
      </c>
      <c r="F64" s="310">
        <f>'Phan tich don gia'!G291</f>
        <v>6864.91302</v>
      </c>
      <c r="G64" s="310">
        <f>'Phan tich don gia'!G295</f>
        <v>31483.5155</v>
      </c>
      <c r="H64" s="310">
        <f>'Phan tich don gia'!G297</f>
        <v>1766.03316</v>
      </c>
      <c r="I64" s="311">
        <f>E64*F64</f>
        <v>38992.705953599994</v>
      </c>
      <c r="J64" s="311">
        <f>E64*G64</f>
        <v>178826.36804</v>
      </c>
      <c r="K64" s="312">
        <f>E64*H64</f>
        <v>10031.0683488</v>
      </c>
    </row>
    <row r="65" spans="1:11" ht="15">
      <c r="A65" s="306">
        <v>40</v>
      </c>
      <c r="B65" s="307" t="s">
        <v>204</v>
      </c>
      <c r="C65" s="307" t="s">
        <v>465</v>
      </c>
      <c r="D65" s="308" t="s">
        <v>43</v>
      </c>
      <c r="E65" s="324">
        <v>149.4</v>
      </c>
      <c r="F65" s="310">
        <f>'Phan tich don gia'!G303</f>
        <v>111723.96544</v>
      </c>
      <c r="G65" s="310">
        <f>'Phan tich don gia'!G309</f>
        <v>39696.6065</v>
      </c>
      <c r="H65" s="310"/>
      <c r="I65" s="311">
        <f>E65*F65</f>
        <v>16691560.436736</v>
      </c>
      <c r="J65" s="311">
        <f>E65*G65</f>
        <v>5930673.011100001</v>
      </c>
      <c r="K65" s="312">
        <f>E65*H65</f>
        <v>0</v>
      </c>
    </row>
    <row r="66" spans="1:11" ht="15">
      <c r="A66" s="306" t="s">
        <v>0</v>
      </c>
      <c r="B66" s="307" t="s">
        <v>0</v>
      </c>
      <c r="C66" s="307" t="s">
        <v>206</v>
      </c>
      <c r="D66" s="308" t="s">
        <v>0</v>
      </c>
      <c r="E66" s="324"/>
      <c r="F66" s="310"/>
      <c r="G66" s="310"/>
      <c r="H66" s="310"/>
      <c r="I66" s="311"/>
      <c r="J66" s="311"/>
      <c r="K66" s="312"/>
    </row>
    <row r="67" spans="1:11" ht="15">
      <c r="A67" s="306">
        <v>41</v>
      </c>
      <c r="B67" s="307" t="s">
        <v>212</v>
      </c>
      <c r="C67" s="307" t="s">
        <v>213</v>
      </c>
      <c r="D67" s="308" t="s">
        <v>5</v>
      </c>
      <c r="E67" s="324">
        <v>14.94</v>
      </c>
      <c r="F67" s="310">
        <f>'Phan tich don gia'!G314</f>
        <v>822726.37289</v>
      </c>
      <c r="G67" s="310">
        <f>'Phan tich don gia'!G320</f>
        <v>283675.269</v>
      </c>
      <c r="H67" s="310">
        <f>'Phan tich don gia'!G322</f>
        <v>54854.7824</v>
      </c>
      <c r="I67" s="311">
        <f>E67*F67</f>
        <v>12291532.0109766</v>
      </c>
      <c r="J67" s="311">
        <f>E67*G67</f>
        <v>4238108.518859999</v>
      </c>
      <c r="K67" s="312">
        <f>E67*H67</f>
        <v>819530.4490559999</v>
      </c>
    </row>
    <row r="68" spans="1:11" ht="15">
      <c r="A68" s="306" t="s">
        <v>0</v>
      </c>
      <c r="B68" s="307" t="s">
        <v>0</v>
      </c>
      <c r="C68" s="307" t="s">
        <v>214</v>
      </c>
      <c r="D68" s="308" t="s">
        <v>0</v>
      </c>
      <c r="E68" s="324"/>
      <c r="F68" s="310"/>
      <c r="G68" s="310"/>
      <c r="H68" s="310"/>
      <c r="I68" s="311"/>
      <c r="J68" s="311"/>
      <c r="K68" s="312"/>
    </row>
    <row r="69" spans="1:11" ht="15">
      <c r="A69" s="306">
        <v>42</v>
      </c>
      <c r="B69" s="307" t="s">
        <v>187</v>
      </c>
      <c r="C69" s="307" t="s">
        <v>188</v>
      </c>
      <c r="D69" s="308" t="s">
        <v>43</v>
      </c>
      <c r="E69" s="324">
        <v>149.4</v>
      </c>
      <c r="F69" s="310">
        <f>'Phan tich don gia'!G271</f>
        <v>0</v>
      </c>
      <c r="G69" s="310">
        <f>'Phan tich don gia'!G274</f>
        <v>378.3</v>
      </c>
      <c r="H69" s="310"/>
      <c r="I69" s="311">
        <f>E69*F69</f>
        <v>0</v>
      </c>
      <c r="J69" s="311">
        <f>E69*G69</f>
        <v>56518.020000000004</v>
      </c>
      <c r="K69" s="312">
        <f>E69*H69</f>
        <v>0</v>
      </c>
    </row>
    <row r="70" spans="1:11" ht="15">
      <c r="A70" s="306">
        <v>43</v>
      </c>
      <c r="B70" s="307" t="s">
        <v>217</v>
      </c>
      <c r="C70" s="307" t="s">
        <v>218</v>
      </c>
      <c r="D70" s="308" t="s">
        <v>43</v>
      </c>
      <c r="E70" s="324">
        <v>14.94</v>
      </c>
      <c r="F70" s="310">
        <f>'Phan tich don gia'!G327</f>
        <v>18070.97666</v>
      </c>
      <c r="G70" s="310">
        <f>'Phan tich don gia'!G332</f>
        <v>33536.78825</v>
      </c>
      <c r="H70" s="310">
        <f>'Phan tich don gia'!G334</f>
        <v>3447.96951</v>
      </c>
      <c r="I70" s="311">
        <f>E70*F70</f>
        <v>269980.3913004</v>
      </c>
      <c r="J70" s="311">
        <f>E70*G70</f>
        <v>501039.61645499995</v>
      </c>
      <c r="K70" s="312">
        <f>E70*H70</f>
        <v>51512.664479399995</v>
      </c>
    </row>
    <row r="71" spans="1:11" ht="15" thickBot="1">
      <c r="A71" s="325" t="s">
        <v>0</v>
      </c>
      <c r="B71" s="326" t="s">
        <v>0</v>
      </c>
      <c r="C71" s="326" t="s">
        <v>0</v>
      </c>
      <c r="D71" s="327" t="s">
        <v>0</v>
      </c>
      <c r="E71" s="328"/>
      <c r="F71" s="329"/>
      <c r="G71" s="329"/>
      <c r="H71" s="329"/>
      <c r="I71" s="330"/>
      <c r="J71" s="330"/>
      <c r="K71" s="331"/>
    </row>
  </sheetData>
  <sheetProtection/>
  <mergeCells count="10">
    <mergeCell ref="C6:C7"/>
    <mergeCell ref="D6:D7"/>
    <mergeCell ref="E6:E7"/>
    <mergeCell ref="F6:H6"/>
    <mergeCell ref="I6:K6"/>
    <mergeCell ref="A1:K1"/>
    <mergeCell ref="A3:K3"/>
    <mergeCell ref="A4:K4"/>
    <mergeCell ref="A6:A7"/>
    <mergeCell ref="B6:B7"/>
  </mergeCells>
  <printOptions horizontalCentered="1"/>
  <pageMargins left="0.75" right="0.5" top="0.75" bottom="0.7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1"/>
  <sheetViews>
    <sheetView showGridLines="0" showZeros="0" zoomScalePageLayoutView="0" workbookViewId="0" topLeftCell="A1">
      <selection activeCell="R10" sqref="R10"/>
    </sheetView>
  </sheetViews>
  <sheetFormatPr defaultColWidth="8.796875" defaultRowHeight="15"/>
  <cols>
    <col min="1" max="1" width="4.69921875" style="350" customWidth="1"/>
    <col min="2" max="2" width="10.19921875" style="6" customWidth="1"/>
    <col min="3" max="3" width="32" style="6" customWidth="1"/>
    <col min="4" max="4" width="7.09765625" style="18" customWidth="1"/>
    <col min="5" max="5" width="9.8984375" style="40" customWidth="1"/>
    <col min="6" max="6" width="10.19921875" style="41" customWidth="1"/>
    <col min="7" max="7" width="12.5" style="41" customWidth="1"/>
    <col min="8" max="9" width="9" style="6" customWidth="1"/>
    <col min="10" max="10" width="23.5" style="6" hidden="1" customWidth="1"/>
    <col min="11" max="16" width="0" style="6" hidden="1" customWidth="1"/>
    <col min="17" max="16384" width="9" style="6" customWidth="1"/>
  </cols>
  <sheetData>
    <row r="1" spans="1:7" ht="21">
      <c r="A1" s="423" t="s">
        <v>405</v>
      </c>
      <c r="B1" s="423"/>
      <c r="C1" s="423"/>
      <c r="D1" s="423"/>
      <c r="E1" s="423"/>
      <c r="F1" s="423"/>
      <c r="G1" s="423"/>
    </row>
    <row r="2" spans="1:7" ht="15.75">
      <c r="A2" s="342"/>
      <c r="B2" s="1"/>
      <c r="C2" s="1"/>
      <c r="D2" s="180"/>
      <c r="E2" s="53"/>
      <c r="F2" s="4"/>
      <c r="G2" s="4"/>
    </row>
    <row r="3" spans="1:7" s="26" customFormat="1" ht="20.25" customHeight="1">
      <c r="A3" s="422" t="s">
        <v>566</v>
      </c>
      <c r="B3" s="422"/>
      <c r="C3" s="422"/>
      <c r="D3" s="422"/>
      <c r="E3" s="422"/>
      <c r="F3" s="422"/>
      <c r="G3" s="422"/>
    </row>
    <row r="4" spans="1:7" s="26" customFormat="1" ht="20.25" customHeight="1">
      <c r="A4" s="422" t="s">
        <v>586</v>
      </c>
      <c r="B4" s="422"/>
      <c r="C4" s="422"/>
      <c r="D4" s="422"/>
      <c r="E4" s="422"/>
      <c r="F4" s="422"/>
      <c r="G4" s="422"/>
    </row>
    <row r="5" spans="1:7" ht="16.5" thickBot="1">
      <c r="A5" s="342"/>
      <c r="B5" s="1"/>
      <c r="C5" s="1"/>
      <c r="D5" s="180"/>
      <c r="E5" s="53"/>
      <c r="F5" s="4"/>
      <c r="G5" s="4"/>
    </row>
    <row r="6" spans="1:7" ht="45" customHeight="1">
      <c r="A6" s="23" t="s">
        <v>262</v>
      </c>
      <c r="B6" s="25" t="s">
        <v>406</v>
      </c>
      <c r="C6" s="24" t="s">
        <v>398</v>
      </c>
      <c r="D6" s="25" t="s">
        <v>407</v>
      </c>
      <c r="E6" s="54" t="s">
        <v>408</v>
      </c>
      <c r="F6" s="55" t="s">
        <v>396</v>
      </c>
      <c r="G6" s="56" t="s">
        <v>394</v>
      </c>
    </row>
    <row r="7" spans="1:7" ht="15">
      <c r="A7" s="343" t="s">
        <v>2</v>
      </c>
      <c r="B7" s="49" t="s">
        <v>3</v>
      </c>
      <c r="C7" s="49" t="s">
        <v>458</v>
      </c>
      <c r="D7" s="192" t="s">
        <v>5</v>
      </c>
      <c r="E7" s="50"/>
      <c r="F7" s="51"/>
      <c r="G7" s="52"/>
    </row>
    <row r="8" spans="1:7" ht="15.75">
      <c r="A8" s="344" t="s">
        <v>0</v>
      </c>
      <c r="B8" s="11" t="s">
        <v>0</v>
      </c>
      <c r="C8" s="11" t="s">
        <v>294</v>
      </c>
      <c r="D8" s="20" t="s">
        <v>0</v>
      </c>
      <c r="E8" s="42"/>
      <c r="F8" s="43"/>
      <c r="G8" s="45">
        <f>ROUND(SUM(G9:G9),5)</f>
        <v>10075.57912</v>
      </c>
    </row>
    <row r="9" spans="1:7" ht="15">
      <c r="A9" s="344" t="s">
        <v>0</v>
      </c>
      <c r="B9" s="11" t="s">
        <v>0</v>
      </c>
      <c r="C9" s="11" t="s">
        <v>7</v>
      </c>
      <c r="D9" s="20" t="s">
        <v>8</v>
      </c>
      <c r="E9" s="42">
        <f>0.0461</f>
        <v>0.0461</v>
      </c>
      <c r="F9" s="43">
        <f>'Gia NC,CM'!P8</f>
        <v>218559.2</v>
      </c>
      <c r="G9" s="44">
        <f>ROUND(E9*F9,5)</f>
        <v>10075.57912</v>
      </c>
    </row>
    <row r="10" spans="1:7" ht="15.75">
      <c r="A10" s="344" t="s">
        <v>0</v>
      </c>
      <c r="B10" s="11" t="s">
        <v>0</v>
      </c>
      <c r="C10" s="11" t="s">
        <v>293</v>
      </c>
      <c r="D10" s="20" t="s">
        <v>0</v>
      </c>
      <c r="E10" s="42"/>
      <c r="F10" s="43"/>
      <c r="G10" s="45">
        <f>ROUND(SUM(G11:G13),5)</f>
        <v>16022.14134</v>
      </c>
    </row>
    <row r="11" spans="1:7" ht="15">
      <c r="A11" s="344" t="s">
        <v>0</v>
      </c>
      <c r="B11" s="11" t="s">
        <v>0</v>
      </c>
      <c r="C11" s="11" t="s">
        <v>9</v>
      </c>
      <c r="D11" s="20" t="s">
        <v>10</v>
      </c>
      <c r="E11" s="42">
        <f>0.00897</f>
        <v>0.00897</v>
      </c>
      <c r="F11" s="43">
        <f>'Gia NC,CM'!P24</f>
        <v>1786191.9</v>
      </c>
      <c r="G11" s="44">
        <f>ROUND(E11*F11,5)</f>
        <v>16022.14134</v>
      </c>
    </row>
    <row r="12" spans="1:7" ht="15">
      <c r="A12" s="344" t="s">
        <v>0</v>
      </c>
      <c r="B12" s="11" t="s">
        <v>0</v>
      </c>
      <c r="C12" s="11" t="s">
        <v>0</v>
      </c>
      <c r="D12" s="20" t="s">
        <v>0</v>
      </c>
      <c r="E12" s="42"/>
      <c r="F12" s="43"/>
      <c r="G12" s="44"/>
    </row>
    <row r="13" spans="1:7" ht="15">
      <c r="A13" s="344" t="s">
        <v>11</v>
      </c>
      <c r="B13" s="11" t="s">
        <v>12</v>
      </c>
      <c r="C13" s="11" t="s">
        <v>455</v>
      </c>
      <c r="D13" s="20" t="s">
        <v>5</v>
      </c>
      <c r="E13" s="42"/>
      <c r="F13" s="43"/>
      <c r="G13" s="44"/>
    </row>
    <row r="14" spans="1:7" ht="15.75">
      <c r="A14" s="344" t="s">
        <v>0</v>
      </c>
      <c r="B14" s="11" t="s">
        <v>0</v>
      </c>
      <c r="C14" s="11" t="s">
        <v>294</v>
      </c>
      <c r="D14" s="20" t="s">
        <v>0</v>
      </c>
      <c r="E14" s="42"/>
      <c r="F14" s="43"/>
      <c r="G14" s="45">
        <f>ROUND(SUM(G15:G18),5)</f>
        <v>271013.408</v>
      </c>
    </row>
    <row r="15" spans="1:7" ht="15">
      <c r="A15" s="344" t="s">
        <v>0</v>
      </c>
      <c r="B15" s="11" t="s">
        <v>0</v>
      </c>
      <c r="C15" s="11" t="s">
        <v>7</v>
      </c>
      <c r="D15" s="20" t="s">
        <v>8</v>
      </c>
      <c r="E15" s="42">
        <f>1.24</f>
        <v>1.24</v>
      </c>
      <c r="F15" s="43">
        <f>'Gia NC,CM'!P8</f>
        <v>218559.2</v>
      </c>
      <c r="G15" s="44">
        <f>ROUND(E15*F15,5)</f>
        <v>271013.408</v>
      </c>
    </row>
    <row r="16" spans="1:7" ht="15">
      <c r="A16" s="344" t="s">
        <v>0</v>
      </c>
      <c r="B16" s="11" t="s">
        <v>0</v>
      </c>
      <c r="C16" s="11" t="s">
        <v>0</v>
      </c>
      <c r="D16" s="20" t="s">
        <v>0</v>
      </c>
      <c r="E16" s="42"/>
      <c r="F16" s="43"/>
      <c r="G16" s="44"/>
    </row>
    <row r="17" spans="1:7" ht="15">
      <c r="A17" s="344" t="s">
        <v>15</v>
      </c>
      <c r="B17" s="11" t="s">
        <v>16</v>
      </c>
      <c r="C17" s="11" t="s">
        <v>17</v>
      </c>
      <c r="D17" s="20" t="s">
        <v>5</v>
      </c>
      <c r="E17" s="42"/>
      <c r="F17" s="43"/>
      <c r="G17" s="44"/>
    </row>
    <row r="18" spans="1:7" ht="15">
      <c r="A18" s="344" t="s">
        <v>0</v>
      </c>
      <c r="B18" s="11" t="s">
        <v>0</v>
      </c>
      <c r="C18" s="11" t="s">
        <v>18</v>
      </c>
      <c r="D18" s="20" t="s">
        <v>0</v>
      </c>
      <c r="E18" s="42"/>
      <c r="F18" s="43"/>
      <c r="G18" s="44"/>
    </row>
    <row r="19" spans="1:7" ht="15.75">
      <c r="A19" s="344" t="s">
        <v>0</v>
      </c>
      <c r="B19" s="11" t="s">
        <v>0</v>
      </c>
      <c r="C19" s="11" t="s">
        <v>294</v>
      </c>
      <c r="D19" s="20" t="s">
        <v>0</v>
      </c>
      <c r="E19" s="42"/>
      <c r="F19" s="43"/>
      <c r="G19" s="45">
        <f>ROUND(SUM(G20:G20),5)</f>
        <v>15583.27096</v>
      </c>
    </row>
    <row r="20" spans="1:7" ht="15">
      <c r="A20" s="344" t="s">
        <v>0</v>
      </c>
      <c r="B20" s="11" t="s">
        <v>0</v>
      </c>
      <c r="C20" s="11" t="s">
        <v>7</v>
      </c>
      <c r="D20" s="20" t="s">
        <v>8</v>
      </c>
      <c r="E20" s="42">
        <f>0.0713</f>
        <v>0.0713</v>
      </c>
      <c r="F20" s="43">
        <f>'Gia NC,CM'!P8</f>
        <v>218559.2</v>
      </c>
      <c r="G20" s="44">
        <f>ROUND(E20*F20,5)</f>
        <v>15583.27096</v>
      </c>
    </row>
    <row r="21" spans="1:7" ht="15.75">
      <c r="A21" s="344" t="s">
        <v>0</v>
      </c>
      <c r="B21" s="11" t="s">
        <v>0</v>
      </c>
      <c r="C21" s="11" t="s">
        <v>293</v>
      </c>
      <c r="D21" s="20" t="s">
        <v>0</v>
      </c>
      <c r="E21" s="42"/>
      <c r="F21" s="43"/>
      <c r="G21" s="45">
        <f>ROUND(SUM(G22:G24),5)</f>
        <v>16705.1835</v>
      </c>
    </row>
    <row r="22" spans="1:7" ht="15">
      <c r="A22" s="344" t="s">
        <v>0</v>
      </c>
      <c r="B22" s="11" t="s">
        <v>0</v>
      </c>
      <c r="C22" s="11" t="s">
        <v>19</v>
      </c>
      <c r="D22" s="20" t="s">
        <v>10</v>
      </c>
      <c r="E22" s="42">
        <f>0.04428</f>
        <v>0.04428</v>
      </c>
      <c r="F22" s="43">
        <f>'Gia NC,CM'!P28</f>
        <v>377262.5</v>
      </c>
      <c r="G22" s="44">
        <f>ROUND(E22*F22,5)</f>
        <v>16705.1835</v>
      </c>
    </row>
    <row r="23" spans="1:7" ht="15">
      <c r="A23" s="344" t="s">
        <v>0</v>
      </c>
      <c r="B23" s="11" t="s">
        <v>0</v>
      </c>
      <c r="C23" s="11" t="s">
        <v>0</v>
      </c>
      <c r="D23" s="20" t="s">
        <v>0</v>
      </c>
      <c r="E23" s="42"/>
      <c r="F23" s="43"/>
      <c r="G23" s="44"/>
    </row>
    <row r="24" spans="1:7" ht="15">
      <c r="A24" s="344" t="s">
        <v>20</v>
      </c>
      <c r="B24" s="11" t="s">
        <v>21</v>
      </c>
      <c r="C24" s="11" t="s">
        <v>22</v>
      </c>
      <c r="D24" s="20" t="s">
        <v>5</v>
      </c>
      <c r="E24" s="42"/>
      <c r="F24" s="43"/>
      <c r="G24" s="44"/>
    </row>
    <row r="25" spans="1:7" ht="15.75">
      <c r="A25" s="344" t="s">
        <v>0</v>
      </c>
      <c r="B25" s="11" t="s">
        <v>0</v>
      </c>
      <c r="C25" s="11" t="s">
        <v>296</v>
      </c>
      <c r="D25" s="20" t="s">
        <v>0</v>
      </c>
      <c r="E25" s="42"/>
      <c r="F25" s="43"/>
      <c r="G25" s="45">
        <f>ROUND(SUM(G26:G26),5)</f>
        <v>248875.8</v>
      </c>
    </row>
    <row r="26" spans="1:7" ht="15">
      <c r="A26" s="344" t="s">
        <v>0</v>
      </c>
      <c r="B26" s="11" t="s">
        <v>0</v>
      </c>
      <c r="C26" s="11" t="s">
        <v>24</v>
      </c>
      <c r="D26" s="20" t="s">
        <v>25</v>
      </c>
      <c r="E26" s="42">
        <f>1.2</f>
        <v>1.2</v>
      </c>
      <c r="F26" s="43">
        <f>'Gia VL'!R9</f>
        <v>207396.5</v>
      </c>
      <c r="G26" s="44">
        <f>ROUND(E26*F26,5)</f>
        <v>248875.8</v>
      </c>
    </row>
    <row r="27" spans="1:7" ht="15.75">
      <c r="A27" s="344" t="s">
        <v>0</v>
      </c>
      <c r="B27" s="11" t="s">
        <v>0</v>
      </c>
      <c r="C27" s="11" t="s">
        <v>294</v>
      </c>
      <c r="D27" s="20" t="s">
        <v>0</v>
      </c>
      <c r="E27" s="42"/>
      <c r="F27" s="43"/>
      <c r="G27" s="45">
        <f>ROUND(SUM(G28:G31),5)</f>
        <v>405179.156</v>
      </c>
    </row>
    <row r="28" spans="1:7" ht="15">
      <c r="A28" s="344" t="s">
        <v>0</v>
      </c>
      <c r="B28" s="11" t="s">
        <v>0</v>
      </c>
      <c r="C28" s="11" t="s">
        <v>27</v>
      </c>
      <c r="D28" s="20" t="s">
        <v>8</v>
      </c>
      <c r="E28" s="42">
        <f>1.48</f>
        <v>1.48</v>
      </c>
      <c r="F28" s="43">
        <f>'Gia NC,CM'!P12</f>
        <v>273769.7</v>
      </c>
      <c r="G28" s="44">
        <f>ROUND(E28*F28,5)</f>
        <v>405179.156</v>
      </c>
    </row>
    <row r="29" spans="1:7" ht="15">
      <c r="A29" s="344" t="s">
        <v>0</v>
      </c>
      <c r="B29" s="11" t="s">
        <v>0</v>
      </c>
      <c r="C29" s="11" t="s">
        <v>0</v>
      </c>
      <c r="D29" s="20" t="s">
        <v>0</v>
      </c>
      <c r="E29" s="42"/>
      <c r="F29" s="43"/>
      <c r="G29" s="44"/>
    </row>
    <row r="30" spans="1:7" ht="15">
      <c r="A30" s="344" t="s">
        <v>28</v>
      </c>
      <c r="B30" s="11" t="s">
        <v>29</v>
      </c>
      <c r="C30" s="11" t="s">
        <v>30</v>
      </c>
      <c r="D30" s="20" t="s">
        <v>5</v>
      </c>
      <c r="E30" s="42"/>
      <c r="F30" s="43"/>
      <c r="G30" s="44"/>
    </row>
    <row r="31" spans="1:7" ht="15">
      <c r="A31" s="344" t="s">
        <v>0</v>
      </c>
      <c r="B31" s="11" t="s">
        <v>0</v>
      </c>
      <c r="C31" s="11" t="s">
        <v>31</v>
      </c>
      <c r="D31" s="20" t="s">
        <v>0</v>
      </c>
      <c r="E31" s="42"/>
      <c r="F31" s="43"/>
      <c r="G31" s="44"/>
    </row>
    <row r="32" spans="1:7" ht="15.75">
      <c r="A32" s="344" t="s">
        <v>0</v>
      </c>
      <c r="B32" s="11" t="s">
        <v>0</v>
      </c>
      <c r="C32" s="11" t="s">
        <v>296</v>
      </c>
      <c r="D32" s="20" t="s">
        <v>0</v>
      </c>
      <c r="E32" s="42"/>
      <c r="F32" s="43"/>
      <c r="G32" s="45">
        <f>ROUND(SUM(G33:G37),5)</f>
        <v>876635.61563</v>
      </c>
    </row>
    <row r="33" spans="1:7" ht="15">
      <c r="A33" s="344" t="s">
        <v>0</v>
      </c>
      <c r="B33" s="11" t="s">
        <v>0</v>
      </c>
      <c r="C33" s="11" t="s">
        <v>32</v>
      </c>
      <c r="D33" s="20" t="s">
        <v>33</v>
      </c>
      <c r="E33" s="42">
        <f>1.025*244</f>
        <v>250.09999999999997</v>
      </c>
      <c r="F33" s="43">
        <f>ROUND('Gia VL'!R56/1000,5)</f>
        <v>1531.6598</v>
      </c>
      <c r="G33" s="44">
        <f>ROUND(E33*F33,5)</f>
        <v>383068.11598</v>
      </c>
    </row>
    <row r="34" spans="1:7" ht="15">
      <c r="A34" s="344" t="s">
        <v>0</v>
      </c>
      <c r="B34" s="11" t="s">
        <v>0</v>
      </c>
      <c r="C34" s="11" t="s">
        <v>34</v>
      </c>
      <c r="D34" s="20" t="s">
        <v>25</v>
      </c>
      <c r="E34" s="42">
        <f>1.025*0.54</f>
        <v>0.5535</v>
      </c>
      <c r="F34" s="43">
        <f>'Gia VL'!R15</f>
        <v>374170.5</v>
      </c>
      <c r="G34" s="44">
        <f>ROUND(E34*F34,5)</f>
        <v>207103.37175</v>
      </c>
    </row>
    <row r="35" spans="1:7" ht="15">
      <c r="A35" s="344" t="s">
        <v>0</v>
      </c>
      <c r="B35" s="11" t="s">
        <v>0</v>
      </c>
      <c r="C35" s="11" t="s">
        <v>35</v>
      </c>
      <c r="D35" s="20" t="s">
        <v>25</v>
      </c>
      <c r="E35" s="42">
        <f>1.025*0.876</f>
        <v>0.8978999999999999</v>
      </c>
      <c r="F35" s="43">
        <f>'Gia VL'!R61</f>
        <v>307396.5</v>
      </c>
      <c r="G35" s="44">
        <f>ROUND(E35*F35,5)</f>
        <v>276011.31735</v>
      </c>
    </row>
    <row r="36" spans="1:7" ht="15">
      <c r="A36" s="344" t="s">
        <v>0</v>
      </c>
      <c r="B36" s="11" t="s">
        <v>0</v>
      </c>
      <c r="C36" s="11" t="s">
        <v>36</v>
      </c>
      <c r="D36" s="20" t="s">
        <v>25</v>
      </c>
      <c r="E36" s="42">
        <f>1.025*0.173</f>
        <v>0.17732499999999998</v>
      </c>
      <c r="F36" s="43">
        <f>'Gia VL'!R38</f>
        <v>10000</v>
      </c>
      <c r="G36" s="44">
        <f>ROUND(E36*F36,5)</f>
        <v>1773.25</v>
      </c>
    </row>
    <row r="37" spans="1:7" ht="15">
      <c r="A37" s="344" t="s">
        <v>0</v>
      </c>
      <c r="B37" s="11" t="s">
        <v>0</v>
      </c>
      <c r="C37" s="11" t="s">
        <v>295</v>
      </c>
      <c r="D37" s="20" t="s">
        <v>291</v>
      </c>
      <c r="E37" s="42">
        <f>1</f>
        <v>1</v>
      </c>
      <c r="F37" s="43"/>
      <c r="G37" s="44">
        <f>ROUND(SUM(G33:G36)*E37/100,5)</f>
        <v>8679.56055</v>
      </c>
    </row>
    <row r="38" spans="1:7" ht="15.75">
      <c r="A38" s="344" t="s">
        <v>0</v>
      </c>
      <c r="B38" s="11" t="s">
        <v>0</v>
      </c>
      <c r="C38" s="11" t="s">
        <v>294</v>
      </c>
      <c r="D38" s="20" t="s">
        <v>0</v>
      </c>
      <c r="E38" s="42"/>
      <c r="F38" s="43"/>
      <c r="G38" s="45">
        <f>ROUND(SUM(G39:G39),5)</f>
        <v>491790</v>
      </c>
    </row>
    <row r="39" spans="1:7" ht="15">
      <c r="A39" s="344" t="s">
        <v>0</v>
      </c>
      <c r="B39" s="11" t="s">
        <v>0</v>
      </c>
      <c r="C39" s="11" t="s">
        <v>37</v>
      </c>
      <c r="D39" s="20" t="s">
        <v>8</v>
      </c>
      <c r="E39" s="42">
        <f>1.95</f>
        <v>1.95</v>
      </c>
      <c r="F39" s="43">
        <f>'Gia NC,CM'!P11</f>
        <v>252200</v>
      </c>
      <c r="G39" s="44">
        <f>ROUND(E39*F39,5)</f>
        <v>491790</v>
      </c>
    </row>
    <row r="40" spans="1:7" ht="15.75">
      <c r="A40" s="344" t="s">
        <v>0</v>
      </c>
      <c r="B40" s="11" t="s">
        <v>0</v>
      </c>
      <c r="C40" s="11" t="s">
        <v>293</v>
      </c>
      <c r="D40" s="20" t="s">
        <v>0</v>
      </c>
      <c r="E40" s="42"/>
      <c r="F40" s="43"/>
      <c r="G40" s="45">
        <f>ROUND(SUM(G41:G44),5)</f>
        <v>54854.7824</v>
      </c>
    </row>
    <row r="41" spans="1:7" ht="15">
      <c r="A41" s="344" t="s">
        <v>0</v>
      </c>
      <c r="B41" s="11" t="s">
        <v>0</v>
      </c>
      <c r="C41" s="11" t="s">
        <v>38</v>
      </c>
      <c r="D41" s="20" t="s">
        <v>10</v>
      </c>
      <c r="E41" s="42">
        <f>0.095</f>
        <v>0.095</v>
      </c>
      <c r="F41" s="43">
        <f>'Gia NC,CM'!P23</f>
        <v>319531.8</v>
      </c>
      <c r="G41" s="44">
        <f>ROUND(E41*F41,5)</f>
        <v>30355.521</v>
      </c>
    </row>
    <row r="42" spans="1:7" ht="15">
      <c r="A42" s="344" t="s">
        <v>0</v>
      </c>
      <c r="B42" s="11" t="s">
        <v>0</v>
      </c>
      <c r="C42" s="11" t="s">
        <v>39</v>
      </c>
      <c r="D42" s="20" t="s">
        <v>10</v>
      </c>
      <c r="E42" s="42">
        <f>0.089</f>
        <v>0.089</v>
      </c>
      <c r="F42" s="43">
        <f>'Gia NC,CM'!P27</f>
        <v>275272.6</v>
      </c>
      <c r="G42" s="44">
        <f>ROUND(E42*F42,5)</f>
        <v>24499.2614</v>
      </c>
    </row>
    <row r="43" spans="1:7" ht="15">
      <c r="A43" s="344" t="s">
        <v>0</v>
      </c>
      <c r="B43" s="11" t="s">
        <v>0</v>
      </c>
      <c r="C43" s="11" t="s">
        <v>0</v>
      </c>
      <c r="D43" s="20" t="s">
        <v>0</v>
      </c>
      <c r="E43" s="42"/>
      <c r="F43" s="43"/>
      <c r="G43" s="44"/>
    </row>
    <row r="44" spans="1:7" ht="15">
      <c r="A44" s="344" t="s">
        <v>40</v>
      </c>
      <c r="B44" s="11" t="s">
        <v>41</v>
      </c>
      <c r="C44" s="11" t="s">
        <v>42</v>
      </c>
      <c r="D44" s="20" t="s">
        <v>43</v>
      </c>
      <c r="E44" s="42"/>
      <c r="F44" s="43"/>
      <c r="G44" s="44"/>
    </row>
    <row r="45" spans="1:7" ht="15.75">
      <c r="A45" s="344" t="s">
        <v>0</v>
      </c>
      <c r="B45" s="11" t="s">
        <v>0</v>
      </c>
      <c r="C45" s="11" t="s">
        <v>296</v>
      </c>
      <c r="D45" s="20" t="s">
        <v>0</v>
      </c>
      <c r="E45" s="42"/>
      <c r="F45" s="43"/>
      <c r="G45" s="45">
        <f>ROUND(SUM(G46:G50),5)</f>
        <v>29959.02938</v>
      </c>
    </row>
    <row r="46" spans="1:7" ht="15">
      <c r="A46" s="344" t="s">
        <v>0</v>
      </c>
      <c r="B46" s="11" t="s">
        <v>0</v>
      </c>
      <c r="C46" s="11" t="s">
        <v>44</v>
      </c>
      <c r="D46" s="20" t="s">
        <v>33</v>
      </c>
      <c r="E46" s="42">
        <f>0.5181</f>
        <v>0.5181</v>
      </c>
      <c r="F46" s="43">
        <f>ROUND('Gia VL'!R49/1000,5)</f>
        <v>19752.42033</v>
      </c>
      <c r="G46" s="44">
        <f>ROUND(E46*F46,5)</f>
        <v>10233.72897</v>
      </c>
    </row>
    <row r="47" spans="1:7" ht="15">
      <c r="A47" s="344" t="s">
        <v>0</v>
      </c>
      <c r="B47" s="11" t="s">
        <v>0</v>
      </c>
      <c r="C47" s="11" t="s">
        <v>45</v>
      </c>
      <c r="D47" s="20" t="s">
        <v>33</v>
      </c>
      <c r="E47" s="42">
        <f>0.4884</f>
        <v>0.4884</v>
      </c>
      <c r="F47" s="43">
        <f>ROUND('Gia VL'!R42/1000,5)</f>
        <v>19752.42033</v>
      </c>
      <c r="G47" s="44">
        <f>ROUND(E47*F47,5)</f>
        <v>9647.08209</v>
      </c>
    </row>
    <row r="48" spans="1:7" ht="15">
      <c r="A48" s="344" t="s">
        <v>0</v>
      </c>
      <c r="B48" s="11" t="s">
        <v>0</v>
      </c>
      <c r="C48" s="11" t="s">
        <v>46</v>
      </c>
      <c r="D48" s="20" t="s">
        <v>33</v>
      </c>
      <c r="E48" s="42">
        <f>0.3813</f>
        <v>0.3813</v>
      </c>
      <c r="F48" s="43">
        <f>ROUND('Gia VL'!R23/1000,5)</f>
        <v>19752.42033</v>
      </c>
      <c r="G48" s="44">
        <f>ROUND(E48*F48,5)</f>
        <v>7531.59787</v>
      </c>
    </row>
    <row r="49" spans="1:7" ht="15">
      <c r="A49" s="344" t="s">
        <v>0</v>
      </c>
      <c r="B49" s="11" t="s">
        <v>0</v>
      </c>
      <c r="C49" s="11" t="s">
        <v>47</v>
      </c>
      <c r="D49" s="20" t="s">
        <v>33</v>
      </c>
      <c r="E49" s="42">
        <f>0.056</f>
        <v>0.056</v>
      </c>
      <c r="F49" s="43">
        <f>ROUND('Gia VL'!R41/1000,5)</f>
        <v>20000</v>
      </c>
      <c r="G49" s="44">
        <f>ROUND(E49*F49,5)</f>
        <v>1120</v>
      </c>
    </row>
    <row r="50" spans="1:7" ht="15">
      <c r="A50" s="344" t="s">
        <v>0</v>
      </c>
      <c r="B50" s="11" t="s">
        <v>0</v>
      </c>
      <c r="C50" s="11" t="s">
        <v>295</v>
      </c>
      <c r="D50" s="20" t="s">
        <v>291</v>
      </c>
      <c r="E50" s="42">
        <f>5</f>
        <v>5</v>
      </c>
      <c r="F50" s="43"/>
      <c r="G50" s="44">
        <f>ROUND(SUM(G46:G49)*E50/100,5)</f>
        <v>1426.62045</v>
      </c>
    </row>
    <row r="51" spans="1:7" ht="15.75">
      <c r="A51" s="344" t="s">
        <v>0</v>
      </c>
      <c r="B51" s="11" t="s">
        <v>0</v>
      </c>
      <c r="C51" s="11" t="s">
        <v>294</v>
      </c>
      <c r="D51" s="20" t="s">
        <v>0</v>
      </c>
      <c r="E51" s="42"/>
      <c r="F51" s="43"/>
      <c r="G51" s="45">
        <f>ROUND(SUM(G52:G52),5)</f>
        <v>78024.3645</v>
      </c>
    </row>
    <row r="52" spans="1:7" ht="15">
      <c r="A52" s="344" t="s">
        <v>0</v>
      </c>
      <c r="B52" s="11" t="s">
        <v>0</v>
      </c>
      <c r="C52" s="11" t="s">
        <v>27</v>
      </c>
      <c r="D52" s="20" t="s">
        <v>8</v>
      </c>
      <c r="E52" s="42">
        <f>0.285</f>
        <v>0.285</v>
      </c>
      <c r="F52" s="43">
        <f>'Gia NC,CM'!P12</f>
        <v>273769.7</v>
      </c>
      <c r="G52" s="44">
        <f>ROUND(E52*F52,5)</f>
        <v>78024.3645</v>
      </c>
    </row>
    <row r="53" spans="1:7" ht="15.75">
      <c r="A53" s="344" t="s">
        <v>0</v>
      </c>
      <c r="B53" s="11" t="s">
        <v>0</v>
      </c>
      <c r="C53" s="11" t="s">
        <v>293</v>
      </c>
      <c r="D53" s="20" t="s">
        <v>0</v>
      </c>
      <c r="E53" s="42"/>
      <c r="F53" s="43"/>
      <c r="G53" s="45">
        <f>ROUND(SUM(G54:G58),5)</f>
        <v>6307.26129</v>
      </c>
    </row>
    <row r="54" spans="1:7" ht="15">
      <c r="A54" s="344" t="s">
        <v>0</v>
      </c>
      <c r="B54" s="11" t="s">
        <v>0</v>
      </c>
      <c r="C54" s="11" t="s">
        <v>48</v>
      </c>
      <c r="D54" s="20" t="s">
        <v>10</v>
      </c>
      <c r="E54" s="42">
        <f>0.015</f>
        <v>0.015</v>
      </c>
      <c r="F54" s="43">
        <f>'Gia NC,CM'!P18</f>
        <v>412239.3</v>
      </c>
      <c r="G54" s="44">
        <f>ROUND(E54*F54,5)</f>
        <v>6183.5895</v>
      </c>
    </row>
    <row r="55" spans="1:7" ht="15">
      <c r="A55" s="344" t="s">
        <v>0</v>
      </c>
      <c r="B55" s="11" t="s">
        <v>0</v>
      </c>
      <c r="C55" s="11" t="s">
        <v>292</v>
      </c>
      <c r="D55" s="20" t="s">
        <v>291</v>
      </c>
      <c r="E55" s="42">
        <f>2</f>
        <v>2</v>
      </c>
      <c r="F55" s="43"/>
      <c r="G55" s="44">
        <f>ROUND(SUM(G54:G54)*E55/100,5)</f>
        <v>123.67179</v>
      </c>
    </row>
    <row r="56" spans="1:7" ht="15">
      <c r="A56" s="344" t="s">
        <v>0</v>
      </c>
      <c r="B56" s="11" t="s">
        <v>0</v>
      </c>
      <c r="C56" s="11" t="s">
        <v>0</v>
      </c>
      <c r="D56" s="20" t="s">
        <v>0</v>
      </c>
      <c r="E56" s="42"/>
      <c r="F56" s="43"/>
      <c r="G56" s="44"/>
    </row>
    <row r="57" spans="1:7" ht="15">
      <c r="A57" s="344" t="s">
        <v>51</v>
      </c>
      <c r="B57" s="11" t="s">
        <v>52</v>
      </c>
      <c r="C57" s="11" t="s">
        <v>53</v>
      </c>
      <c r="D57" s="20" t="s">
        <v>5</v>
      </c>
      <c r="E57" s="42"/>
      <c r="F57" s="43"/>
      <c r="G57" s="44"/>
    </row>
    <row r="58" spans="1:7" ht="15">
      <c r="A58" s="344" t="s">
        <v>0</v>
      </c>
      <c r="B58" s="11" t="s">
        <v>0</v>
      </c>
      <c r="C58" s="11" t="s">
        <v>54</v>
      </c>
      <c r="D58" s="20" t="s">
        <v>0</v>
      </c>
      <c r="E58" s="42"/>
      <c r="F58" s="43"/>
      <c r="G58" s="44"/>
    </row>
    <row r="59" spans="1:7" ht="15.75">
      <c r="A59" s="344" t="s">
        <v>0</v>
      </c>
      <c r="B59" s="11" t="s">
        <v>0</v>
      </c>
      <c r="C59" s="11" t="s">
        <v>296</v>
      </c>
      <c r="D59" s="20" t="s">
        <v>0</v>
      </c>
      <c r="E59" s="42"/>
      <c r="F59" s="43"/>
      <c r="G59" s="45">
        <f>ROUND(SUM(G60:G64),5)</f>
        <v>960350.59609</v>
      </c>
    </row>
    <row r="60" spans="1:7" ht="15">
      <c r="A60" s="344" t="s">
        <v>0</v>
      </c>
      <c r="B60" s="11" t="s">
        <v>0</v>
      </c>
      <c r="C60" s="11" t="s">
        <v>32</v>
      </c>
      <c r="D60" s="20" t="s">
        <v>33</v>
      </c>
      <c r="E60" s="42">
        <f>1.025*301</f>
        <v>308.525</v>
      </c>
      <c r="F60" s="43">
        <f>ROUND('Gia VL'!R56/1000,5)</f>
        <v>1531.6598</v>
      </c>
      <c r="G60" s="44">
        <f>ROUND(E60*F60,5)</f>
        <v>472555.3398</v>
      </c>
    </row>
    <row r="61" spans="1:7" ht="15">
      <c r="A61" s="344" t="s">
        <v>0</v>
      </c>
      <c r="B61" s="11" t="s">
        <v>0</v>
      </c>
      <c r="C61" s="11" t="s">
        <v>34</v>
      </c>
      <c r="D61" s="20" t="s">
        <v>25</v>
      </c>
      <c r="E61" s="42">
        <f>1.025*0.519</f>
        <v>0.531975</v>
      </c>
      <c r="F61" s="43">
        <f>'Gia VL'!R15</f>
        <v>374170.5</v>
      </c>
      <c r="G61" s="44">
        <f>ROUND(E61*F61,5)</f>
        <v>199049.35174</v>
      </c>
    </row>
    <row r="62" spans="1:7" ht="15">
      <c r="A62" s="344" t="s">
        <v>0</v>
      </c>
      <c r="B62" s="11" t="s">
        <v>0</v>
      </c>
      <c r="C62" s="11" t="s">
        <v>55</v>
      </c>
      <c r="D62" s="20" t="s">
        <v>25</v>
      </c>
      <c r="E62" s="42">
        <f>1.025*0.855</f>
        <v>0.8763749999999999</v>
      </c>
      <c r="F62" s="43">
        <f>'Gia VL'!R58</f>
        <v>316487.5</v>
      </c>
      <c r="G62" s="44">
        <f>ROUND(E62*F62,5)</f>
        <v>277361.73281</v>
      </c>
    </row>
    <row r="63" spans="1:7" ht="15">
      <c r="A63" s="344" t="s">
        <v>0</v>
      </c>
      <c r="B63" s="11" t="s">
        <v>0</v>
      </c>
      <c r="C63" s="11" t="s">
        <v>36</v>
      </c>
      <c r="D63" s="20" t="s">
        <v>25</v>
      </c>
      <c r="E63" s="42">
        <f>1.025*0.183</f>
        <v>0.187575</v>
      </c>
      <c r="F63" s="43">
        <f>'Gia VL'!R38</f>
        <v>10000</v>
      </c>
      <c r="G63" s="44">
        <f>ROUND(E63*F63,5)</f>
        <v>1875.75</v>
      </c>
    </row>
    <row r="64" spans="1:7" ht="15">
      <c r="A64" s="344" t="s">
        <v>0</v>
      </c>
      <c r="B64" s="11" t="s">
        <v>0</v>
      </c>
      <c r="C64" s="11" t="s">
        <v>295</v>
      </c>
      <c r="D64" s="20" t="s">
        <v>291</v>
      </c>
      <c r="E64" s="42">
        <f>1</f>
        <v>1</v>
      </c>
      <c r="F64" s="43"/>
      <c r="G64" s="44">
        <f>ROUND(SUM(G60:G63)*E64/100,5)</f>
        <v>9508.42174</v>
      </c>
    </row>
    <row r="65" spans="1:7" ht="15.75">
      <c r="A65" s="344" t="s">
        <v>0</v>
      </c>
      <c r="B65" s="11" t="s">
        <v>0</v>
      </c>
      <c r="C65" s="11" t="s">
        <v>294</v>
      </c>
      <c r="D65" s="20" t="s">
        <v>0</v>
      </c>
      <c r="E65" s="42"/>
      <c r="F65" s="43"/>
      <c r="G65" s="45">
        <f>ROUND(SUM(G66:G66),5)</f>
        <v>491790</v>
      </c>
    </row>
    <row r="66" spans="1:7" ht="15">
      <c r="A66" s="344" t="s">
        <v>0</v>
      </c>
      <c r="B66" s="11" t="s">
        <v>0</v>
      </c>
      <c r="C66" s="11" t="s">
        <v>37</v>
      </c>
      <c r="D66" s="20" t="s">
        <v>8</v>
      </c>
      <c r="E66" s="42">
        <f>1.95</f>
        <v>1.95</v>
      </c>
      <c r="F66" s="43">
        <f>'Gia NC,CM'!P11</f>
        <v>252200</v>
      </c>
      <c r="G66" s="44">
        <f>ROUND(E66*F66,5)</f>
        <v>491790</v>
      </c>
    </row>
    <row r="67" spans="1:7" ht="15.75">
      <c r="A67" s="344" t="s">
        <v>0</v>
      </c>
      <c r="B67" s="11" t="s">
        <v>0</v>
      </c>
      <c r="C67" s="11" t="s">
        <v>293</v>
      </c>
      <c r="D67" s="20" t="s">
        <v>0</v>
      </c>
      <c r="E67" s="42"/>
      <c r="F67" s="43"/>
      <c r="G67" s="45">
        <f>ROUND(SUM(G68:G72),5)</f>
        <v>54854.7824</v>
      </c>
    </row>
    <row r="68" spans="1:7" ht="15">
      <c r="A68" s="344" t="s">
        <v>0</v>
      </c>
      <c r="B68" s="11" t="s">
        <v>0</v>
      </c>
      <c r="C68" s="11" t="s">
        <v>38</v>
      </c>
      <c r="D68" s="20" t="s">
        <v>10</v>
      </c>
      <c r="E68" s="42">
        <f>0.095</f>
        <v>0.095</v>
      </c>
      <c r="F68" s="43">
        <f>'Gia NC,CM'!P23</f>
        <v>319531.8</v>
      </c>
      <c r="G68" s="44">
        <f>ROUND(E68*F68,5)</f>
        <v>30355.521</v>
      </c>
    </row>
    <row r="69" spans="1:7" ht="15">
      <c r="A69" s="344" t="s">
        <v>0</v>
      </c>
      <c r="B69" s="11" t="s">
        <v>0</v>
      </c>
      <c r="C69" s="11" t="s">
        <v>39</v>
      </c>
      <c r="D69" s="20" t="s">
        <v>10</v>
      </c>
      <c r="E69" s="42">
        <f>0.089</f>
        <v>0.089</v>
      </c>
      <c r="F69" s="43">
        <f>'Gia NC,CM'!P27</f>
        <v>275272.6</v>
      </c>
      <c r="G69" s="44">
        <f>ROUND(E69*F69,5)</f>
        <v>24499.2614</v>
      </c>
    </row>
    <row r="70" spans="1:7" ht="15">
      <c r="A70" s="344" t="s">
        <v>0</v>
      </c>
      <c r="B70" s="11" t="s">
        <v>0</v>
      </c>
      <c r="C70" s="11" t="s">
        <v>0</v>
      </c>
      <c r="D70" s="20" t="s">
        <v>0</v>
      </c>
      <c r="E70" s="42"/>
      <c r="F70" s="43"/>
      <c r="G70" s="44"/>
    </row>
    <row r="71" spans="1:7" ht="15">
      <c r="A71" s="344" t="s">
        <v>56</v>
      </c>
      <c r="B71" s="11" t="s">
        <v>57</v>
      </c>
      <c r="C71" s="11" t="s">
        <v>58</v>
      </c>
      <c r="D71" s="20" t="s">
        <v>59</v>
      </c>
      <c r="E71" s="42"/>
      <c r="F71" s="43"/>
      <c r="G71" s="44"/>
    </row>
    <row r="72" spans="1:7" ht="15">
      <c r="A72" s="344" t="s">
        <v>0</v>
      </c>
      <c r="B72" s="11" t="s">
        <v>0</v>
      </c>
      <c r="C72" s="11" t="s">
        <v>60</v>
      </c>
      <c r="D72" s="20" t="s">
        <v>0</v>
      </c>
      <c r="E72" s="42"/>
      <c r="F72" s="43"/>
      <c r="G72" s="44"/>
    </row>
    <row r="73" spans="1:7" ht="15.75">
      <c r="A73" s="344" t="s">
        <v>0</v>
      </c>
      <c r="B73" s="11" t="s">
        <v>0</v>
      </c>
      <c r="C73" s="11" t="s">
        <v>296</v>
      </c>
      <c r="D73" s="20" t="s">
        <v>0</v>
      </c>
      <c r="E73" s="42"/>
      <c r="F73" s="43"/>
      <c r="G73" s="45">
        <f>ROUND(SUM(G74:G75),5)</f>
        <v>15631992.43165</v>
      </c>
    </row>
    <row r="74" spans="1:7" ht="15">
      <c r="A74" s="344" t="s">
        <v>0</v>
      </c>
      <c r="B74" s="11" t="s">
        <v>0</v>
      </c>
      <c r="C74" s="11" t="s">
        <v>61</v>
      </c>
      <c r="D74" s="20" t="s">
        <v>33</v>
      </c>
      <c r="E74" s="42">
        <f>1005</f>
        <v>1005</v>
      </c>
      <c r="F74" s="43">
        <f>ROUND('Gia VL'!R47/1000,5)</f>
        <v>15234.42033</v>
      </c>
      <c r="G74" s="44">
        <f>ROUND(E74*F74,5)</f>
        <v>15310592.43165</v>
      </c>
    </row>
    <row r="75" spans="1:7" ht="15">
      <c r="A75" s="344" t="s">
        <v>0</v>
      </c>
      <c r="B75" s="11" t="s">
        <v>0</v>
      </c>
      <c r="C75" s="11" t="s">
        <v>62</v>
      </c>
      <c r="D75" s="20" t="s">
        <v>33</v>
      </c>
      <c r="E75" s="42">
        <f>16.07</f>
        <v>16.07</v>
      </c>
      <c r="F75" s="43">
        <f>ROUND('Gia VL'!R24/1000,5)</f>
        <v>20000</v>
      </c>
      <c r="G75" s="44">
        <f>ROUND(E75*F75,5)</f>
        <v>321400</v>
      </c>
    </row>
    <row r="76" spans="1:7" ht="15.75">
      <c r="A76" s="344" t="s">
        <v>0</v>
      </c>
      <c r="B76" s="11" t="s">
        <v>0</v>
      </c>
      <c r="C76" s="11" t="s">
        <v>294</v>
      </c>
      <c r="D76" s="20" t="s">
        <v>0</v>
      </c>
      <c r="E76" s="42"/>
      <c r="F76" s="43"/>
      <c r="G76" s="45">
        <f>ROUND(SUM(G77:G77),5)</f>
        <v>3881358</v>
      </c>
    </row>
    <row r="77" spans="1:7" ht="15">
      <c r="A77" s="344" t="s">
        <v>0</v>
      </c>
      <c r="B77" s="11" t="s">
        <v>0</v>
      </c>
      <c r="C77" s="11" t="s">
        <v>37</v>
      </c>
      <c r="D77" s="20" t="s">
        <v>8</v>
      </c>
      <c r="E77" s="42">
        <f>15.39</f>
        <v>15.39</v>
      </c>
      <c r="F77" s="43">
        <f>'Gia NC,CM'!P11</f>
        <v>252200</v>
      </c>
      <c r="G77" s="44">
        <f>ROUND(E77*F77,5)</f>
        <v>3881358</v>
      </c>
    </row>
    <row r="78" spans="1:7" ht="15.75">
      <c r="A78" s="344" t="s">
        <v>0</v>
      </c>
      <c r="B78" s="11" t="s">
        <v>0</v>
      </c>
      <c r="C78" s="11" t="s">
        <v>293</v>
      </c>
      <c r="D78" s="20" t="s">
        <v>0</v>
      </c>
      <c r="E78" s="42"/>
      <c r="F78" s="43"/>
      <c r="G78" s="45">
        <f>ROUND(SUM(G79:G81),5)</f>
        <v>111957.68</v>
      </c>
    </row>
    <row r="79" spans="1:7" ht="15">
      <c r="A79" s="344" t="s">
        <v>0</v>
      </c>
      <c r="B79" s="11" t="s">
        <v>0</v>
      </c>
      <c r="C79" s="11" t="s">
        <v>63</v>
      </c>
      <c r="D79" s="20" t="s">
        <v>10</v>
      </c>
      <c r="E79" s="42">
        <f>0.4</f>
        <v>0.4</v>
      </c>
      <c r="F79" s="43">
        <f>'Gia NC,CM'!P17</f>
        <v>279894.2</v>
      </c>
      <c r="G79" s="44">
        <f>ROUND(E79*F79,5)</f>
        <v>111957.68</v>
      </c>
    </row>
    <row r="80" spans="1:7" ht="15">
      <c r="A80" s="344" t="s">
        <v>0</v>
      </c>
      <c r="B80" s="11" t="s">
        <v>0</v>
      </c>
      <c r="C80" s="11" t="s">
        <v>0</v>
      </c>
      <c r="D80" s="20" t="s">
        <v>0</v>
      </c>
      <c r="E80" s="42"/>
      <c r="F80" s="43"/>
      <c r="G80" s="44"/>
    </row>
    <row r="81" spans="1:7" ht="15">
      <c r="A81" s="344" t="s">
        <v>64</v>
      </c>
      <c r="B81" s="11" t="s">
        <v>67</v>
      </c>
      <c r="C81" s="11" t="s">
        <v>570</v>
      </c>
      <c r="D81" s="20" t="s">
        <v>69</v>
      </c>
      <c r="E81" s="42"/>
      <c r="F81" s="43"/>
      <c r="G81" s="44"/>
    </row>
    <row r="82" spans="1:7" ht="15">
      <c r="A82" s="344"/>
      <c r="B82" s="11"/>
      <c r="C82" s="11" t="s">
        <v>569</v>
      </c>
      <c r="D82" s="20"/>
      <c r="E82" s="42"/>
      <c r="F82" s="43"/>
      <c r="G82" s="44"/>
    </row>
    <row r="83" spans="1:7" ht="15.75">
      <c r="A83" s="344" t="s">
        <v>0</v>
      </c>
      <c r="B83" s="11" t="s">
        <v>0</v>
      </c>
      <c r="C83" s="11" t="s">
        <v>296</v>
      </c>
      <c r="D83" s="20" t="s">
        <v>0</v>
      </c>
      <c r="E83" s="42"/>
      <c r="F83" s="43"/>
      <c r="G83" s="45">
        <f>ROUND(SUM(G84:G88),5)</f>
        <v>946273.49366</v>
      </c>
    </row>
    <row r="84" spans="1:7" ht="15">
      <c r="A84" s="344" t="s">
        <v>0</v>
      </c>
      <c r="B84" s="11" t="s">
        <v>0</v>
      </c>
      <c r="C84" s="11" t="s">
        <v>32</v>
      </c>
      <c r="D84" s="20" t="s">
        <v>33</v>
      </c>
      <c r="E84" s="42">
        <f>1.015*301</f>
        <v>305.515</v>
      </c>
      <c r="F84" s="43">
        <f>ROUND('Gia VL'!R56/1000,5)</f>
        <v>1531.6598</v>
      </c>
      <c r="G84" s="44">
        <f>ROUND(E84*F84,5)</f>
        <v>467945.0438</v>
      </c>
    </row>
    <row r="85" spans="1:7" ht="15">
      <c r="A85" s="344" t="s">
        <v>0</v>
      </c>
      <c r="B85" s="11" t="s">
        <v>0</v>
      </c>
      <c r="C85" s="11" t="s">
        <v>34</v>
      </c>
      <c r="D85" s="20" t="s">
        <v>25</v>
      </c>
      <c r="E85" s="42">
        <f>1.015*0.519</f>
        <v>0.526785</v>
      </c>
      <c r="F85" s="43">
        <f>'Gia VL'!R15</f>
        <v>374170.5</v>
      </c>
      <c r="G85" s="44">
        <f>ROUND(E85*F85,5)</f>
        <v>197107.40684</v>
      </c>
    </row>
    <row r="86" spans="1:7" ht="15">
      <c r="A86" s="344" t="s">
        <v>0</v>
      </c>
      <c r="B86" s="11" t="s">
        <v>0</v>
      </c>
      <c r="C86" s="11" t="s">
        <v>55</v>
      </c>
      <c r="D86" s="20" t="s">
        <v>25</v>
      </c>
      <c r="E86" s="42">
        <f>1.015*0.855</f>
        <v>0.8678249999999998</v>
      </c>
      <c r="F86" s="43">
        <f>'Gia VL'!R58</f>
        <v>316487.5</v>
      </c>
      <c r="G86" s="44">
        <f>ROUND(E86*F86,5)</f>
        <v>274655.76469</v>
      </c>
    </row>
    <row r="87" spans="1:7" ht="15">
      <c r="A87" s="344" t="s">
        <v>0</v>
      </c>
      <c r="B87" s="11" t="s">
        <v>0</v>
      </c>
      <c r="C87" s="11" t="s">
        <v>36</v>
      </c>
      <c r="D87" s="20" t="s">
        <v>25</v>
      </c>
      <c r="E87" s="42">
        <f>1.015*0.183</f>
        <v>0.18574499999999997</v>
      </c>
      <c r="F87" s="43">
        <f>'Gia VL'!R38</f>
        <v>10000</v>
      </c>
      <c r="G87" s="44">
        <f>ROUND(E87*F87,5)</f>
        <v>1857.45</v>
      </c>
    </row>
    <row r="88" spans="1:7" ht="15">
      <c r="A88" s="344" t="s">
        <v>0</v>
      </c>
      <c r="B88" s="11" t="s">
        <v>0</v>
      </c>
      <c r="C88" s="11" t="s">
        <v>295</v>
      </c>
      <c r="D88" s="20" t="s">
        <v>291</v>
      </c>
      <c r="E88" s="42">
        <f>0.5</f>
        <v>0.5</v>
      </c>
      <c r="F88" s="43"/>
      <c r="G88" s="44">
        <f>ROUND(SUM(G84:G87)*E88/100,5)</f>
        <v>4707.82833</v>
      </c>
    </row>
    <row r="89" spans="1:7" ht="15.75">
      <c r="A89" s="344" t="s">
        <v>0</v>
      </c>
      <c r="B89" s="11" t="s">
        <v>0</v>
      </c>
      <c r="C89" s="11" t="s">
        <v>294</v>
      </c>
      <c r="D89" s="20" t="s">
        <v>0</v>
      </c>
      <c r="E89" s="42"/>
      <c r="F89" s="43"/>
      <c r="G89" s="45">
        <f>ROUND(SUM(G90:G90),5)</f>
        <v>445116.479</v>
      </c>
    </row>
    <row r="90" spans="1:7" ht="15">
      <c r="A90" s="344" t="s">
        <v>0</v>
      </c>
      <c r="B90" s="11" t="s">
        <v>0</v>
      </c>
      <c r="C90" s="11" t="s">
        <v>70</v>
      </c>
      <c r="D90" s="20" t="s">
        <v>8</v>
      </c>
      <c r="E90" s="42">
        <f>1.93</f>
        <v>1.93</v>
      </c>
      <c r="F90" s="43">
        <f>'Gia NC,CM'!P9</f>
        <v>230630.3</v>
      </c>
      <c r="G90" s="44">
        <f>ROUND(E90*F90,5)</f>
        <v>445116.479</v>
      </c>
    </row>
    <row r="91" spans="1:7" ht="15.75">
      <c r="A91" s="344" t="s">
        <v>0</v>
      </c>
      <c r="B91" s="11" t="s">
        <v>0</v>
      </c>
      <c r="C91" s="11" t="s">
        <v>293</v>
      </c>
      <c r="D91" s="20" t="s">
        <v>0</v>
      </c>
      <c r="E91" s="42"/>
      <c r="F91" s="43"/>
      <c r="G91" s="45">
        <f>ROUND(SUM(G92:G95),5)</f>
        <v>30355.521</v>
      </c>
    </row>
    <row r="92" spans="1:7" ht="15">
      <c r="A92" s="344" t="s">
        <v>0</v>
      </c>
      <c r="B92" s="11" t="s">
        <v>0</v>
      </c>
      <c r="C92" s="11" t="s">
        <v>38</v>
      </c>
      <c r="D92" s="20" t="s">
        <v>10</v>
      </c>
      <c r="E92" s="42">
        <f>0.095</f>
        <v>0.095</v>
      </c>
      <c r="F92" s="43">
        <f>'Gia NC,CM'!P23</f>
        <v>319531.8</v>
      </c>
      <c r="G92" s="44">
        <f>ROUND(E92*F92,5)</f>
        <v>30355.521</v>
      </c>
    </row>
    <row r="93" spans="1:7" ht="15">
      <c r="A93" s="344" t="s">
        <v>0</v>
      </c>
      <c r="B93" s="11" t="s">
        <v>0</v>
      </c>
      <c r="C93" s="11" t="s">
        <v>0</v>
      </c>
      <c r="D93" s="20" t="s">
        <v>0</v>
      </c>
      <c r="E93" s="42"/>
      <c r="F93" s="43"/>
      <c r="G93" s="44"/>
    </row>
    <row r="94" spans="1:7" ht="15">
      <c r="A94" s="344" t="s">
        <v>66</v>
      </c>
      <c r="B94" s="11" t="s">
        <v>72</v>
      </c>
      <c r="C94" s="11" t="s">
        <v>73</v>
      </c>
      <c r="D94" s="20" t="s">
        <v>74</v>
      </c>
      <c r="E94" s="42"/>
      <c r="F94" s="43"/>
      <c r="G94" s="44"/>
    </row>
    <row r="95" spans="1:7" ht="15">
      <c r="A95" s="344" t="s">
        <v>0</v>
      </c>
      <c r="B95" s="11" t="s">
        <v>0</v>
      </c>
      <c r="C95" s="11" t="s">
        <v>60</v>
      </c>
      <c r="D95" s="20" t="s">
        <v>0</v>
      </c>
      <c r="E95" s="42"/>
      <c r="F95" s="43"/>
      <c r="G95" s="44"/>
    </row>
    <row r="96" spans="1:7" ht="15.75">
      <c r="A96" s="344" t="s">
        <v>0</v>
      </c>
      <c r="B96" s="11" t="s">
        <v>0</v>
      </c>
      <c r="C96" s="11" t="s">
        <v>296</v>
      </c>
      <c r="D96" s="20" t="s">
        <v>0</v>
      </c>
      <c r="E96" s="42"/>
      <c r="F96" s="43"/>
      <c r="G96" s="45">
        <f>ROUND(SUM(G97:G98),5)</f>
        <v>15860508.7366</v>
      </c>
    </row>
    <row r="97" spans="1:7" ht="15">
      <c r="A97" s="344" t="s">
        <v>0</v>
      </c>
      <c r="B97" s="11" t="s">
        <v>0</v>
      </c>
      <c r="C97" s="11" t="s">
        <v>75</v>
      </c>
      <c r="D97" s="20" t="s">
        <v>33</v>
      </c>
      <c r="E97" s="42">
        <f>1020</f>
        <v>1020</v>
      </c>
      <c r="F97" s="43">
        <f>ROUND('Gia VL'!R46/1000,5)</f>
        <v>15234.42033</v>
      </c>
      <c r="G97" s="44">
        <f>ROUND(E97*F97,5)</f>
        <v>15539108.7366</v>
      </c>
    </row>
    <row r="98" spans="1:7" ht="15">
      <c r="A98" s="344" t="s">
        <v>0</v>
      </c>
      <c r="B98" s="11" t="s">
        <v>0</v>
      </c>
      <c r="C98" s="11" t="s">
        <v>62</v>
      </c>
      <c r="D98" s="20" t="s">
        <v>33</v>
      </c>
      <c r="E98" s="42">
        <f>16.07</f>
        <v>16.07</v>
      </c>
      <c r="F98" s="43">
        <f>ROUND('Gia VL'!R24/1000,5)</f>
        <v>20000</v>
      </c>
      <c r="G98" s="44">
        <f>ROUND(E98*F98,5)</f>
        <v>321400</v>
      </c>
    </row>
    <row r="99" spans="1:7" ht="15.75">
      <c r="A99" s="344" t="s">
        <v>0</v>
      </c>
      <c r="B99" s="11" t="s">
        <v>0</v>
      </c>
      <c r="C99" s="11" t="s">
        <v>294</v>
      </c>
      <c r="D99" s="20" t="s">
        <v>0</v>
      </c>
      <c r="E99" s="42"/>
      <c r="F99" s="43"/>
      <c r="G99" s="45">
        <f>ROUND(SUM(G100:G100),5)</f>
        <v>4098250</v>
      </c>
    </row>
    <row r="100" spans="1:7" ht="15">
      <c r="A100" s="344" t="s">
        <v>0</v>
      </c>
      <c r="B100" s="11" t="s">
        <v>0</v>
      </c>
      <c r="C100" s="11" t="s">
        <v>37</v>
      </c>
      <c r="D100" s="20" t="s">
        <v>8</v>
      </c>
      <c r="E100" s="42">
        <f>16.25</f>
        <v>16.25</v>
      </c>
      <c r="F100" s="43">
        <f>'Gia NC,CM'!P11</f>
        <v>252200</v>
      </c>
      <c r="G100" s="44">
        <f>ROUND(E100*F100,5)</f>
        <v>4098250</v>
      </c>
    </row>
    <row r="101" spans="1:7" ht="15.75">
      <c r="A101" s="344" t="s">
        <v>0</v>
      </c>
      <c r="B101" s="11" t="s">
        <v>0</v>
      </c>
      <c r="C101" s="11" t="s">
        <v>293</v>
      </c>
      <c r="D101" s="20" t="s">
        <v>0</v>
      </c>
      <c r="E101" s="42"/>
      <c r="F101" s="43"/>
      <c r="G101" s="45">
        <f>ROUND(SUM(G102:G105),5)</f>
        <v>111957.68</v>
      </c>
    </row>
    <row r="102" spans="1:7" ht="15">
      <c r="A102" s="344" t="s">
        <v>0</v>
      </c>
      <c r="B102" s="11" t="s">
        <v>0</v>
      </c>
      <c r="C102" s="11" t="s">
        <v>63</v>
      </c>
      <c r="D102" s="20" t="s">
        <v>10</v>
      </c>
      <c r="E102" s="42">
        <f>0.4</f>
        <v>0.4</v>
      </c>
      <c r="F102" s="43">
        <f>'Gia NC,CM'!P17</f>
        <v>279894.2</v>
      </c>
      <c r="G102" s="44">
        <f>ROUND(E102*F102,5)</f>
        <v>111957.68</v>
      </c>
    </row>
    <row r="103" spans="1:7" ht="15">
      <c r="A103" s="344" t="s">
        <v>0</v>
      </c>
      <c r="B103" s="11" t="s">
        <v>0</v>
      </c>
      <c r="C103" s="11" t="s">
        <v>0</v>
      </c>
      <c r="D103" s="20" t="s">
        <v>0</v>
      </c>
      <c r="E103" s="42"/>
      <c r="F103" s="43"/>
      <c r="G103" s="44"/>
    </row>
    <row r="104" spans="1:7" ht="15">
      <c r="A104" s="344" t="s">
        <v>71</v>
      </c>
      <c r="B104" s="11" t="s">
        <v>77</v>
      </c>
      <c r="C104" s="11" t="s">
        <v>73</v>
      </c>
      <c r="D104" s="20" t="s">
        <v>74</v>
      </c>
      <c r="E104" s="42"/>
      <c r="F104" s="43"/>
      <c r="G104" s="44"/>
    </row>
    <row r="105" spans="1:7" ht="15">
      <c r="A105" s="344" t="s">
        <v>0</v>
      </c>
      <c r="B105" s="11" t="s">
        <v>0</v>
      </c>
      <c r="C105" s="11" t="s">
        <v>78</v>
      </c>
      <c r="D105" s="20" t="s">
        <v>0</v>
      </c>
      <c r="E105" s="42"/>
      <c r="F105" s="43"/>
      <c r="G105" s="44"/>
    </row>
    <row r="106" spans="1:7" ht="15.75">
      <c r="A106" s="344" t="s">
        <v>0</v>
      </c>
      <c r="B106" s="11" t="s">
        <v>0</v>
      </c>
      <c r="C106" s="11" t="s">
        <v>296</v>
      </c>
      <c r="D106" s="20" t="s">
        <v>0</v>
      </c>
      <c r="E106" s="42"/>
      <c r="F106" s="43"/>
      <c r="G106" s="45">
        <f>ROUND(SUM(G107:G109),5)</f>
        <v>15817108.7366</v>
      </c>
    </row>
    <row r="107" spans="1:7" ht="15">
      <c r="A107" s="344" t="s">
        <v>0</v>
      </c>
      <c r="B107" s="11" t="s">
        <v>0</v>
      </c>
      <c r="C107" s="11" t="s">
        <v>79</v>
      </c>
      <c r="D107" s="20" t="s">
        <v>33</v>
      </c>
      <c r="E107" s="42">
        <f>1020</f>
        <v>1020</v>
      </c>
      <c r="F107" s="43">
        <f>ROUND('Gia VL'!R48/1000,5)</f>
        <v>15234.42033</v>
      </c>
      <c r="G107" s="44">
        <f>ROUND(E107*F107,5)</f>
        <v>15539108.7366</v>
      </c>
    </row>
    <row r="108" spans="1:7" ht="15">
      <c r="A108" s="344" t="s">
        <v>0</v>
      </c>
      <c r="B108" s="11" t="s">
        <v>0</v>
      </c>
      <c r="C108" s="11" t="s">
        <v>62</v>
      </c>
      <c r="D108" s="20" t="s">
        <v>33</v>
      </c>
      <c r="E108" s="42">
        <f>9.28</f>
        <v>9.28</v>
      </c>
      <c r="F108" s="43">
        <f>ROUND('Gia VL'!R24/1000,5)</f>
        <v>20000</v>
      </c>
      <c r="G108" s="44">
        <f>ROUND(E108*F108,5)</f>
        <v>185600</v>
      </c>
    </row>
    <row r="109" spans="1:7" ht="15">
      <c r="A109" s="344" t="s">
        <v>0</v>
      </c>
      <c r="B109" s="11" t="s">
        <v>0</v>
      </c>
      <c r="C109" s="11" t="s">
        <v>47</v>
      </c>
      <c r="D109" s="20" t="s">
        <v>33</v>
      </c>
      <c r="E109" s="42">
        <f>4.62</f>
        <v>4.62</v>
      </c>
      <c r="F109" s="43">
        <f>ROUND('Gia VL'!R41/1000,5)</f>
        <v>20000</v>
      </c>
      <c r="G109" s="44">
        <f>ROUND(E109*F109,5)</f>
        <v>92400</v>
      </c>
    </row>
    <row r="110" spans="1:7" ht="15.75">
      <c r="A110" s="344" t="s">
        <v>0</v>
      </c>
      <c r="B110" s="11" t="s">
        <v>0</v>
      </c>
      <c r="C110" s="11" t="s">
        <v>294</v>
      </c>
      <c r="D110" s="20" t="s">
        <v>0</v>
      </c>
      <c r="E110" s="42"/>
      <c r="F110" s="43"/>
      <c r="G110" s="45">
        <f>ROUND(SUM(G111:G111),5)</f>
        <v>3049098</v>
      </c>
    </row>
    <row r="111" spans="1:7" ht="15">
      <c r="A111" s="344" t="s">
        <v>0</v>
      </c>
      <c r="B111" s="11" t="s">
        <v>0</v>
      </c>
      <c r="C111" s="11" t="s">
        <v>37</v>
      </c>
      <c r="D111" s="20" t="s">
        <v>8</v>
      </c>
      <c r="E111" s="42">
        <f>12.09</f>
        <v>12.09</v>
      </c>
      <c r="F111" s="43">
        <f>'Gia NC,CM'!P11</f>
        <v>252200</v>
      </c>
      <c r="G111" s="44">
        <f>ROUND(E111*F111,5)</f>
        <v>3049098</v>
      </c>
    </row>
    <row r="112" spans="1:7" ht="15.75">
      <c r="A112" s="344" t="s">
        <v>0</v>
      </c>
      <c r="B112" s="11" t="s">
        <v>0</v>
      </c>
      <c r="C112" s="11" t="s">
        <v>293</v>
      </c>
      <c r="D112" s="20" t="s">
        <v>0</v>
      </c>
      <c r="E112" s="42"/>
      <c r="F112" s="43"/>
      <c r="G112" s="45">
        <f>ROUND(SUM(G113:G116),5)</f>
        <v>966399.1351</v>
      </c>
    </row>
    <row r="113" spans="1:7" ht="15">
      <c r="A113" s="344" t="s">
        <v>0</v>
      </c>
      <c r="B113" s="11" t="s">
        <v>0</v>
      </c>
      <c r="C113" s="11" t="s">
        <v>48</v>
      </c>
      <c r="D113" s="20" t="s">
        <v>10</v>
      </c>
      <c r="E113" s="42">
        <f>2.127</f>
        <v>2.127</v>
      </c>
      <c r="F113" s="43">
        <f>'Gia NC,CM'!P18</f>
        <v>412239.3</v>
      </c>
      <c r="G113" s="44">
        <f>ROUND(E113*F113,5)</f>
        <v>876832.9911</v>
      </c>
    </row>
    <row r="114" spans="1:7" ht="15">
      <c r="A114" s="344" t="s">
        <v>0</v>
      </c>
      <c r="B114" s="11" t="s">
        <v>0</v>
      </c>
      <c r="C114" s="11" t="s">
        <v>63</v>
      </c>
      <c r="D114" s="20" t="s">
        <v>10</v>
      </c>
      <c r="E114" s="42">
        <f>0.32</f>
        <v>0.32</v>
      </c>
      <c r="F114" s="43">
        <f>'Gia NC,CM'!P17</f>
        <v>279894.2</v>
      </c>
      <c r="G114" s="44">
        <f>ROUND(E114*F114,5)</f>
        <v>89566.144</v>
      </c>
    </row>
    <row r="115" spans="1:7" ht="15">
      <c r="A115" s="344" t="s">
        <v>0</v>
      </c>
      <c r="B115" s="11" t="s">
        <v>0</v>
      </c>
      <c r="C115" s="11" t="s">
        <v>0</v>
      </c>
      <c r="D115" s="20" t="s">
        <v>0</v>
      </c>
      <c r="E115" s="42"/>
      <c r="F115" s="43"/>
      <c r="G115" s="44"/>
    </row>
    <row r="116" spans="1:7" ht="15">
      <c r="A116" s="344" t="s">
        <v>76</v>
      </c>
      <c r="B116" s="11" t="s">
        <v>81</v>
      </c>
      <c r="C116" s="11" t="s">
        <v>82</v>
      </c>
      <c r="D116" s="20" t="s">
        <v>43</v>
      </c>
      <c r="E116" s="42"/>
      <c r="F116" s="43"/>
      <c r="G116" s="44"/>
    </row>
    <row r="117" spans="1:7" ht="15.75">
      <c r="A117" s="344" t="s">
        <v>0</v>
      </c>
      <c r="B117" s="11" t="s">
        <v>0</v>
      </c>
      <c r="C117" s="11" t="s">
        <v>296</v>
      </c>
      <c r="D117" s="20" t="s">
        <v>0</v>
      </c>
      <c r="E117" s="42"/>
      <c r="F117" s="43"/>
      <c r="G117" s="45">
        <f>ROUND(SUM(G118:G121),5)</f>
        <v>7865.66918</v>
      </c>
    </row>
    <row r="118" spans="1:7" ht="15">
      <c r="A118" s="344" t="s">
        <v>0</v>
      </c>
      <c r="B118" s="11" t="s">
        <v>0</v>
      </c>
      <c r="C118" s="11" t="s">
        <v>44</v>
      </c>
      <c r="D118" s="20" t="s">
        <v>33</v>
      </c>
      <c r="E118" s="42">
        <f>0.2303</f>
        <v>0.2303</v>
      </c>
      <c r="F118" s="43">
        <f>ROUND('Gia VL'!R49/1000,5)</f>
        <v>19752.42033</v>
      </c>
      <c r="G118" s="44">
        <f>ROUND(E118*F118,5)</f>
        <v>4548.9824</v>
      </c>
    </row>
    <row r="119" spans="1:7" ht="15">
      <c r="A119" s="344" t="s">
        <v>0</v>
      </c>
      <c r="B119" s="11" t="s">
        <v>0</v>
      </c>
      <c r="C119" s="11" t="s">
        <v>45</v>
      </c>
      <c r="D119" s="20" t="s">
        <v>33</v>
      </c>
      <c r="E119" s="42">
        <f>0.1368</f>
        <v>0.1368</v>
      </c>
      <c r="F119" s="43">
        <f>ROUND('Gia VL'!R42/1000,5)</f>
        <v>19752.42033</v>
      </c>
      <c r="G119" s="44">
        <f>ROUND(E119*F119,5)</f>
        <v>2702.1311</v>
      </c>
    </row>
    <row r="120" spans="1:7" ht="15">
      <c r="A120" s="344" t="s">
        <v>0</v>
      </c>
      <c r="B120" s="11" t="s">
        <v>0</v>
      </c>
      <c r="C120" s="11" t="s">
        <v>47</v>
      </c>
      <c r="D120" s="20" t="s">
        <v>33</v>
      </c>
      <c r="E120" s="42">
        <f>0.012</f>
        <v>0.012</v>
      </c>
      <c r="F120" s="43">
        <f>ROUND('Gia VL'!R41/1000,5)</f>
        <v>20000</v>
      </c>
      <c r="G120" s="44">
        <f>ROUND(E120*F120,5)</f>
        <v>240</v>
      </c>
    </row>
    <row r="121" spans="1:7" ht="15">
      <c r="A121" s="344" t="s">
        <v>0</v>
      </c>
      <c r="B121" s="11" t="s">
        <v>0</v>
      </c>
      <c r="C121" s="11" t="s">
        <v>295</v>
      </c>
      <c r="D121" s="20" t="s">
        <v>291</v>
      </c>
      <c r="E121" s="42">
        <f>5</f>
        <v>5</v>
      </c>
      <c r="F121" s="43"/>
      <c r="G121" s="44">
        <f>ROUND(SUM(G118:G120)*E121/100,5)</f>
        <v>374.55568</v>
      </c>
    </row>
    <row r="122" spans="1:7" ht="15.75">
      <c r="A122" s="344" t="s">
        <v>0</v>
      </c>
      <c r="B122" s="11" t="s">
        <v>0</v>
      </c>
      <c r="C122" s="11" t="s">
        <v>294</v>
      </c>
      <c r="D122" s="20" t="s">
        <v>0</v>
      </c>
      <c r="E122" s="42"/>
      <c r="F122" s="43"/>
      <c r="G122" s="45">
        <f>ROUND(SUM(G123:G123),5)</f>
        <v>63131.29282</v>
      </c>
    </row>
    <row r="123" spans="1:7" ht="15">
      <c r="A123" s="344" t="s">
        <v>0</v>
      </c>
      <c r="B123" s="11" t="s">
        <v>0</v>
      </c>
      <c r="C123" s="11" t="s">
        <v>27</v>
      </c>
      <c r="D123" s="20" t="s">
        <v>8</v>
      </c>
      <c r="E123" s="42">
        <f>0.2306</f>
        <v>0.2306</v>
      </c>
      <c r="F123" s="43">
        <f>'Gia NC,CM'!P12</f>
        <v>273769.7</v>
      </c>
      <c r="G123" s="44">
        <f>ROUND(E123*F123,5)</f>
        <v>63131.29282</v>
      </c>
    </row>
    <row r="124" spans="1:7" ht="15.75">
      <c r="A124" s="344" t="s">
        <v>0</v>
      </c>
      <c r="B124" s="11" t="s">
        <v>0</v>
      </c>
      <c r="C124" s="11" t="s">
        <v>293</v>
      </c>
      <c r="D124" s="20" t="s">
        <v>0</v>
      </c>
      <c r="E124" s="42"/>
      <c r="F124" s="43"/>
      <c r="G124" s="45">
        <f>ROUND(SUM(G125:G128),5)</f>
        <v>1428.40917</v>
      </c>
    </row>
    <row r="125" spans="1:7" ht="15">
      <c r="A125" s="344" t="s">
        <v>0</v>
      </c>
      <c r="B125" s="11" t="s">
        <v>0</v>
      </c>
      <c r="C125" s="11" t="s">
        <v>48</v>
      </c>
      <c r="D125" s="20" t="s">
        <v>10</v>
      </c>
      <c r="E125" s="42">
        <f>0.0033</f>
        <v>0.0033</v>
      </c>
      <c r="F125" s="43">
        <f>'Gia NC,CM'!P18</f>
        <v>412239.3</v>
      </c>
      <c r="G125" s="44">
        <f>ROUND(E125*F125,5)</f>
        <v>1360.38969</v>
      </c>
    </row>
    <row r="126" spans="1:7" ht="15">
      <c r="A126" s="344" t="s">
        <v>0</v>
      </c>
      <c r="B126" s="11" t="s">
        <v>0</v>
      </c>
      <c r="C126" s="11" t="s">
        <v>292</v>
      </c>
      <c r="D126" s="20" t="s">
        <v>291</v>
      </c>
      <c r="E126" s="42">
        <f>5</f>
        <v>5</v>
      </c>
      <c r="F126" s="43"/>
      <c r="G126" s="44">
        <f>ROUND(SUM(G125:G125)*E126/100,5)</f>
        <v>68.01948</v>
      </c>
    </row>
    <row r="127" spans="1:7" ht="15">
      <c r="A127" s="344" t="s">
        <v>0</v>
      </c>
      <c r="B127" s="11" t="s">
        <v>0</v>
      </c>
      <c r="C127" s="11" t="s">
        <v>0</v>
      </c>
      <c r="D127" s="20" t="s">
        <v>0</v>
      </c>
      <c r="E127" s="42"/>
      <c r="F127" s="43"/>
      <c r="G127" s="44"/>
    </row>
    <row r="128" spans="1:7" ht="15">
      <c r="A128" s="344" t="s">
        <v>80</v>
      </c>
      <c r="B128" s="11" t="s">
        <v>84</v>
      </c>
      <c r="C128" s="11" t="s">
        <v>85</v>
      </c>
      <c r="D128" s="20" t="s">
        <v>86</v>
      </c>
      <c r="E128" s="42"/>
      <c r="F128" s="43"/>
      <c r="G128" s="44"/>
    </row>
    <row r="129" spans="1:7" ht="15.75">
      <c r="A129" s="344" t="s">
        <v>0</v>
      </c>
      <c r="B129" s="11" t="s">
        <v>0</v>
      </c>
      <c r="C129" s="11" t="s">
        <v>294</v>
      </c>
      <c r="D129" s="20" t="s">
        <v>0</v>
      </c>
      <c r="E129" s="42"/>
      <c r="F129" s="43"/>
      <c r="G129" s="45">
        <f>ROUND(SUM(G130:G130),5)</f>
        <v>6918.909</v>
      </c>
    </row>
    <row r="130" spans="1:7" ht="15">
      <c r="A130" s="344" t="s">
        <v>0</v>
      </c>
      <c r="B130" s="11" t="s">
        <v>0</v>
      </c>
      <c r="C130" s="11" t="s">
        <v>70</v>
      </c>
      <c r="D130" s="20" t="s">
        <v>8</v>
      </c>
      <c r="E130" s="42">
        <f>0.03</f>
        <v>0.03</v>
      </c>
      <c r="F130" s="43">
        <f>'Gia NC,CM'!P9</f>
        <v>230630.3</v>
      </c>
      <c r="G130" s="44">
        <f>ROUND(E130*F130,5)</f>
        <v>6918.909</v>
      </c>
    </row>
    <row r="131" spans="1:7" ht="15.75">
      <c r="A131" s="344" t="s">
        <v>0</v>
      </c>
      <c r="B131" s="11" t="s">
        <v>0</v>
      </c>
      <c r="C131" s="11" t="s">
        <v>293</v>
      </c>
      <c r="D131" s="20" t="s">
        <v>0</v>
      </c>
      <c r="E131" s="42"/>
      <c r="F131" s="43"/>
      <c r="G131" s="45">
        <f>ROUND(SUM(G132:G135),5)</f>
        <v>23823.462</v>
      </c>
    </row>
    <row r="132" spans="1:7" ht="15">
      <c r="A132" s="344" t="s">
        <v>0</v>
      </c>
      <c r="B132" s="11" t="s">
        <v>0</v>
      </c>
      <c r="C132" s="11" t="s">
        <v>87</v>
      </c>
      <c r="D132" s="20" t="s">
        <v>10</v>
      </c>
      <c r="E132" s="42">
        <f>0.015</f>
        <v>0.015</v>
      </c>
      <c r="F132" s="43">
        <f>'Gia NC,CM'!P14</f>
        <v>1588230.8</v>
      </c>
      <c r="G132" s="44">
        <f>ROUND(E132*F132,5)</f>
        <v>23823.462</v>
      </c>
    </row>
    <row r="133" spans="1:7" ht="15">
      <c r="A133" s="344" t="s">
        <v>0</v>
      </c>
      <c r="B133" s="11" t="s">
        <v>0</v>
      </c>
      <c r="C133" s="11" t="s">
        <v>0</v>
      </c>
      <c r="D133" s="20" t="s">
        <v>0</v>
      </c>
      <c r="E133" s="42"/>
      <c r="F133" s="43"/>
      <c r="G133" s="44"/>
    </row>
    <row r="134" spans="1:7" ht="15">
      <c r="A134" s="344" t="s">
        <v>83</v>
      </c>
      <c r="B134" s="11" t="s">
        <v>89</v>
      </c>
      <c r="C134" s="11" t="s">
        <v>90</v>
      </c>
      <c r="D134" s="20" t="s">
        <v>5</v>
      </c>
      <c r="E134" s="42"/>
      <c r="F134" s="43"/>
      <c r="G134" s="44"/>
    </row>
    <row r="135" spans="1:7" ht="15">
      <c r="A135" s="344" t="s">
        <v>0</v>
      </c>
      <c r="B135" s="11" t="s">
        <v>0</v>
      </c>
      <c r="C135" s="11" t="s">
        <v>54</v>
      </c>
      <c r="D135" s="20" t="s">
        <v>0</v>
      </c>
      <c r="E135" s="42"/>
      <c r="F135" s="43"/>
      <c r="G135" s="44"/>
    </row>
    <row r="136" spans="1:7" ht="15.75">
      <c r="A136" s="344" t="s">
        <v>0</v>
      </c>
      <c r="B136" s="11" t="s">
        <v>0</v>
      </c>
      <c r="C136" s="11" t="s">
        <v>296</v>
      </c>
      <c r="D136" s="20" t="s">
        <v>0</v>
      </c>
      <c r="E136" s="42"/>
      <c r="F136" s="43"/>
      <c r="G136" s="45">
        <f>ROUND(SUM(G137:G141),5)</f>
        <v>960350.59609</v>
      </c>
    </row>
    <row r="137" spans="1:7" ht="15">
      <c r="A137" s="344" t="s">
        <v>0</v>
      </c>
      <c r="B137" s="11" t="s">
        <v>0</v>
      </c>
      <c r="C137" s="11" t="s">
        <v>32</v>
      </c>
      <c r="D137" s="20" t="s">
        <v>33</v>
      </c>
      <c r="E137" s="42">
        <f>1.025*301</f>
        <v>308.525</v>
      </c>
      <c r="F137" s="43">
        <f>ROUND('Gia VL'!R56/1000,5)</f>
        <v>1531.6598</v>
      </c>
      <c r="G137" s="44">
        <f>ROUND(E137*F137,5)</f>
        <v>472555.3398</v>
      </c>
    </row>
    <row r="138" spans="1:7" ht="15">
      <c r="A138" s="344" t="s">
        <v>0</v>
      </c>
      <c r="B138" s="11" t="s">
        <v>0</v>
      </c>
      <c r="C138" s="11" t="s">
        <v>34</v>
      </c>
      <c r="D138" s="20" t="s">
        <v>25</v>
      </c>
      <c r="E138" s="42">
        <f>1.025*0.519</f>
        <v>0.531975</v>
      </c>
      <c r="F138" s="43">
        <f>'Gia VL'!R15</f>
        <v>374170.5</v>
      </c>
      <c r="G138" s="44">
        <f>ROUND(E138*F138,5)</f>
        <v>199049.35174</v>
      </c>
    </row>
    <row r="139" spans="1:7" ht="15">
      <c r="A139" s="344" t="s">
        <v>0</v>
      </c>
      <c r="B139" s="11" t="s">
        <v>0</v>
      </c>
      <c r="C139" s="11" t="s">
        <v>55</v>
      </c>
      <c r="D139" s="20" t="s">
        <v>25</v>
      </c>
      <c r="E139" s="42">
        <f>1.025*0.855</f>
        <v>0.8763749999999999</v>
      </c>
      <c r="F139" s="43">
        <f>'Gia VL'!R58</f>
        <v>316487.5</v>
      </c>
      <c r="G139" s="44">
        <f>ROUND(E139*F139,5)</f>
        <v>277361.73281</v>
      </c>
    </row>
    <row r="140" spans="1:7" ht="15">
      <c r="A140" s="344" t="s">
        <v>0</v>
      </c>
      <c r="B140" s="11" t="s">
        <v>0</v>
      </c>
      <c r="C140" s="11" t="s">
        <v>36</v>
      </c>
      <c r="D140" s="20" t="s">
        <v>25</v>
      </c>
      <c r="E140" s="42">
        <f>1.025*0.183</f>
        <v>0.187575</v>
      </c>
      <c r="F140" s="43">
        <f>'Gia VL'!R38</f>
        <v>10000</v>
      </c>
      <c r="G140" s="44">
        <f>ROUND(E140*F140,5)</f>
        <v>1875.75</v>
      </c>
    </row>
    <row r="141" spans="1:7" ht="15">
      <c r="A141" s="344" t="s">
        <v>0</v>
      </c>
      <c r="B141" s="11" t="s">
        <v>0</v>
      </c>
      <c r="C141" s="11" t="s">
        <v>295</v>
      </c>
      <c r="D141" s="20" t="s">
        <v>291</v>
      </c>
      <c r="E141" s="42">
        <f>1</f>
        <v>1</v>
      </c>
      <c r="F141" s="43"/>
      <c r="G141" s="44">
        <f>ROUND(SUM(G137:G140)*E141/100,5)</f>
        <v>9508.42174</v>
      </c>
    </row>
    <row r="142" spans="1:7" ht="15.75">
      <c r="A142" s="344" t="s">
        <v>0</v>
      </c>
      <c r="B142" s="11" t="s">
        <v>0</v>
      </c>
      <c r="C142" s="11" t="s">
        <v>294</v>
      </c>
      <c r="D142" s="20" t="s">
        <v>0</v>
      </c>
      <c r="E142" s="42"/>
      <c r="F142" s="43"/>
      <c r="G142" s="45">
        <f>ROUND(SUM(G143:G143),5)</f>
        <v>418652</v>
      </c>
    </row>
    <row r="143" spans="1:7" ht="15">
      <c r="A143" s="344" t="s">
        <v>0</v>
      </c>
      <c r="B143" s="11" t="s">
        <v>0</v>
      </c>
      <c r="C143" s="11" t="s">
        <v>37</v>
      </c>
      <c r="D143" s="20" t="s">
        <v>8</v>
      </c>
      <c r="E143" s="42">
        <f>1.66</f>
        <v>1.66</v>
      </c>
      <c r="F143" s="43">
        <f>'Gia NC,CM'!P11</f>
        <v>252200</v>
      </c>
      <c r="G143" s="44">
        <f>ROUND(E143*F143,5)</f>
        <v>418652</v>
      </c>
    </row>
    <row r="144" spans="1:7" ht="15.75">
      <c r="A144" s="344" t="s">
        <v>0</v>
      </c>
      <c r="B144" s="11" t="s">
        <v>0</v>
      </c>
      <c r="C144" s="11" t="s">
        <v>293</v>
      </c>
      <c r="D144" s="20" t="s">
        <v>0</v>
      </c>
      <c r="E144" s="42"/>
      <c r="F144" s="43"/>
      <c r="G144" s="45">
        <f>ROUND(SUM(G145:G148),5)</f>
        <v>54854.7824</v>
      </c>
    </row>
    <row r="145" spans="1:7" ht="15">
      <c r="A145" s="344" t="s">
        <v>0</v>
      </c>
      <c r="B145" s="11" t="s">
        <v>0</v>
      </c>
      <c r="C145" s="11" t="s">
        <v>38</v>
      </c>
      <c r="D145" s="20" t="s">
        <v>10</v>
      </c>
      <c r="E145" s="42">
        <f>0.095</f>
        <v>0.095</v>
      </c>
      <c r="F145" s="43">
        <f>'Gia NC,CM'!P23</f>
        <v>319531.8</v>
      </c>
      <c r="G145" s="44">
        <f>ROUND(E145*F145,5)</f>
        <v>30355.521</v>
      </c>
    </row>
    <row r="146" spans="1:7" ht="15">
      <c r="A146" s="344" t="s">
        <v>0</v>
      </c>
      <c r="B146" s="11" t="s">
        <v>0</v>
      </c>
      <c r="C146" s="11" t="s">
        <v>39</v>
      </c>
      <c r="D146" s="20" t="s">
        <v>10</v>
      </c>
      <c r="E146" s="42">
        <f>0.089</f>
        <v>0.089</v>
      </c>
      <c r="F146" s="43">
        <f>'Gia NC,CM'!P27</f>
        <v>275272.6</v>
      </c>
      <c r="G146" s="44">
        <f>ROUND(E146*F146,5)</f>
        <v>24499.2614</v>
      </c>
    </row>
    <row r="147" spans="1:7" ht="15">
      <c r="A147" s="344" t="s">
        <v>0</v>
      </c>
      <c r="B147" s="11" t="s">
        <v>0</v>
      </c>
      <c r="C147" s="11" t="s">
        <v>0</v>
      </c>
      <c r="D147" s="20" t="s">
        <v>0</v>
      </c>
      <c r="E147" s="42"/>
      <c r="F147" s="43"/>
      <c r="G147" s="44"/>
    </row>
    <row r="148" spans="1:7" ht="15">
      <c r="A148" s="344" t="s">
        <v>88</v>
      </c>
      <c r="B148" s="11" t="s">
        <v>92</v>
      </c>
      <c r="C148" s="11" t="s">
        <v>93</v>
      </c>
      <c r="D148" s="20" t="s">
        <v>43</v>
      </c>
      <c r="E148" s="42"/>
      <c r="F148" s="43"/>
      <c r="G148" s="44"/>
    </row>
    <row r="149" spans="1:7" ht="15.75">
      <c r="A149" s="344" t="s">
        <v>0</v>
      </c>
      <c r="B149" s="11" t="s">
        <v>0</v>
      </c>
      <c r="C149" s="11" t="s">
        <v>296</v>
      </c>
      <c r="D149" s="20" t="s">
        <v>0</v>
      </c>
      <c r="E149" s="42"/>
      <c r="F149" s="43"/>
      <c r="G149" s="45">
        <f>ROUND(SUM(G150:G153),5)</f>
        <v>17634.60392</v>
      </c>
    </row>
    <row r="150" spans="1:7" ht="15">
      <c r="A150" s="344" t="s">
        <v>0</v>
      </c>
      <c r="B150" s="11" t="s">
        <v>0</v>
      </c>
      <c r="C150" s="11" t="s">
        <v>44</v>
      </c>
      <c r="D150" s="20" t="s">
        <v>33</v>
      </c>
      <c r="E150" s="42">
        <f>0.5181</f>
        <v>0.5181</v>
      </c>
      <c r="F150" s="43">
        <f>ROUND('Gia VL'!R49/1000,5)</f>
        <v>19752.42033</v>
      </c>
      <c r="G150" s="44">
        <f>ROUND(E150*F150,5)</f>
        <v>10233.72897</v>
      </c>
    </row>
    <row r="151" spans="1:7" ht="15">
      <c r="A151" s="344" t="s">
        <v>0</v>
      </c>
      <c r="B151" s="11" t="s">
        <v>0</v>
      </c>
      <c r="C151" s="11" t="s">
        <v>45</v>
      </c>
      <c r="D151" s="20" t="s">
        <v>33</v>
      </c>
      <c r="E151" s="42">
        <f>0.3024</f>
        <v>0.3024</v>
      </c>
      <c r="F151" s="43">
        <f>ROUND('Gia VL'!R42/1000,5)</f>
        <v>19752.42033</v>
      </c>
      <c r="G151" s="44">
        <f>ROUND(E151*F151,5)</f>
        <v>5973.13191</v>
      </c>
    </row>
    <row r="152" spans="1:7" ht="15">
      <c r="A152" s="344" t="s">
        <v>0</v>
      </c>
      <c r="B152" s="11" t="s">
        <v>0</v>
      </c>
      <c r="C152" s="11" t="s">
        <v>47</v>
      </c>
      <c r="D152" s="20" t="s">
        <v>33</v>
      </c>
      <c r="E152" s="42">
        <f>0.0294</f>
        <v>0.0294</v>
      </c>
      <c r="F152" s="43">
        <f>ROUND('Gia VL'!R41/1000,5)</f>
        <v>20000</v>
      </c>
      <c r="G152" s="44">
        <f>ROUND(E152*F152,5)</f>
        <v>588</v>
      </c>
    </row>
    <row r="153" spans="1:7" ht="15">
      <c r="A153" s="344" t="s">
        <v>0</v>
      </c>
      <c r="B153" s="11" t="s">
        <v>0</v>
      </c>
      <c r="C153" s="11" t="s">
        <v>295</v>
      </c>
      <c r="D153" s="20" t="s">
        <v>291</v>
      </c>
      <c r="E153" s="42">
        <f>5</f>
        <v>5</v>
      </c>
      <c r="F153" s="43"/>
      <c r="G153" s="44">
        <f>ROUND(SUM(G150:G152)*E153/100,5)</f>
        <v>839.74304</v>
      </c>
    </row>
    <row r="154" spans="1:7" ht="15.75">
      <c r="A154" s="344" t="s">
        <v>0</v>
      </c>
      <c r="B154" s="11" t="s">
        <v>0</v>
      </c>
      <c r="C154" s="11" t="s">
        <v>294</v>
      </c>
      <c r="D154" s="20" t="s">
        <v>0</v>
      </c>
      <c r="E154" s="42"/>
      <c r="F154" s="43"/>
      <c r="G154" s="45">
        <f>ROUND(SUM(G155:G155),5)</f>
        <v>31100.23792</v>
      </c>
    </row>
    <row r="155" spans="1:7" ht="15">
      <c r="A155" s="344" t="s">
        <v>0</v>
      </c>
      <c r="B155" s="11" t="s">
        <v>0</v>
      </c>
      <c r="C155" s="11" t="s">
        <v>27</v>
      </c>
      <c r="D155" s="20" t="s">
        <v>8</v>
      </c>
      <c r="E155" s="42">
        <f>0.1136</f>
        <v>0.1136</v>
      </c>
      <c r="F155" s="43">
        <f>'Gia NC,CM'!P12</f>
        <v>273769.7</v>
      </c>
      <c r="G155" s="44">
        <f>ROUND(E155*F155,5)</f>
        <v>31100.23792</v>
      </c>
    </row>
    <row r="156" spans="1:7" ht="15.75">
      <c r="A156" s="344" t="s">
        <v>0</v>
      </c>
      <c r="B156" s="11" t="s">
        <v>0</v>
      </c>
      <c r="C156" s="11" t="s">
        <v>293</v>
      </c>
      <c r="D156" s="20" t="s">
        <v>0</v>
      </c>
      <c r="E156" s="42"/>
      <c r="F156" s="43"/>
      <c r="G156" s="45">
        <f>ROUND(SUM(G157:G160),5)</f>
        <v>3153.63065</v>
      </c>
    </row>
    <row r="157" spans="1:7" ht="15">
      <c r="A157" s="344" t="s">
        <v>0</v>
      </c>
      <c r="B157" s="11" t="s">
        <v>0</v>
      </c>
      <c r="C157" s="11" t="s">
        <v>48</v>
      </c>
      <c r="D157" s="20" t="s">
        <v>10</v>
      </c>
      <c r="E157" s="42">
        <f>0.0075</f>
        <v>0.0075</v>
      </c>
      <c r="F157" s="43">
        <f>'Gia NC,CM'!P18</f>
        <v>412239.3</v>
      </c>
      <c r="G157" s="44">
        <f>ROUND(E157*F157,5)</f>
        <v>3091.79475</v>
      </c>
    </row>
    <row r="158" spans="1:7" ht="15">
      <c r="A158" s="344" t="s">
        <v>0</v>
      </c>
      <c r="B158" s="11" t="s">
        <v>0</v>
      </c>
      <c r="C158" s="11" t="s">
        <v>292</v>
      </c>
      <c r="D158" s="20" t="s">
        <v>291</v>
      </c>
      <c r="E158" s="42">
        <f>2</f>
        <v>2</v>
      </c>
      <c r="F158" s="43"/>
      <c r="G158" s="44">
        <f>ROUND(SUM(G157:G157)*E158/100,5)</f>
        <v>61.8359</v>
      </c>
    </row>
    <row r="159" spans="1:7" ht="15">
      <c r="A159" s="344" t="s">
        <v>0</v>
      </c>
      <c r="B159" s="11" t="s">
        <v>0</v>
      </c>
      <c r="C159" s="11" t="s">
        <v>0</v>
      </c>
      <c r="D159" s="20" t="s">
        <v>0</v>
      </c>
      <c r="E159" s="42"/>
      <c r="F159" s="43"/>
      <c r="G159" s="44"/>
    </row>
    <row r="160" spans="1:7" ht="15">
      <c r="A160" s="344" t="s">
        <v>91</v>
      </c>
      <c r="B160" s="11" t="s">
        <v>95</v>
      </c>
      <c r="C160" s="11" t="s">
        <v>96</v>
      </c>
      <c r="D160" s="20" t="s">
        <v>97</v>
      </c>
      <c r="E160" s="42"/>
      <c r="F160" s="43"/>
      <c r="G160" s="44"/>
    </row>
    <row r="161" spans="1:7" ht="15.75">
      <c r="A161" s="344" t="s">
        <v>0</v>
      </c>
      <c r="B161" s="11" t="s">
        <v>0</v>
      </c>
      <c r="C161" s="11" t="s">
        <v>298</v>
      </c>
      <c r="D161" s="20" t="s">
        <v>0</v>
      </c>
      <c r="E161" s="42"/>
      <c r="F161" s="43"/>
      <c r="G161" s="45">
        <f>ROUND(SUM(G162:G165),5)</f>
        <v>401890.7248</v>
      </c>
    </row>
    <row r="162" spans="1:7" ht="15">
      <c r="A162" s="344" t="s">
        <v>0</v>
      </c>
      <c r="B162" s="244" t="s">
        <v>0</v>
      </c>
      <c r="C162" s="244" t="s">
        <v>613</v>
      </c>
      <c r="D162" s="245" t="s">
        <v>99</v>
      </c>
      <c r="E162" s="333">
        <f>1.01</f>
        <v>1.01</v>
      </c>
      <c r="F162" s="334">
        <f>'Gia VL'!R68</f>
        <v>397636</v>
      </c>
      <c r="G162" s="335">
        <f>ROUND(E162*F162,5)</f>
        <v>401612.36</v>
      </c>
    </row>
    <row r="163" spans="1:7" ht="15">
      <c r="A163" s="344" t="s">
        <v>0</v>
      </c>
      <c r="B163" s="11" t="s">
        <v>0</v>
      </c>
      <c r="C163" s="11" t="s">
        <v>100</v>
      </c>
      <c r="D163" s="20" t="s">
        <v>101</v>
      </c>
      <c r="E163" s="42">
        <f>0.0076</f>
        <v>0.0076</v>
      </c>
      <c r="F163" s="43">
        <f>ROUND('Gia VL'!R22/1000,5)</f>
        <v>22727</v>
      </c>
      <c r="G163" s="44">
        <f>ROUND(E163*F163,5)</f>
        <v>172.7252</v>
      </c>
    </row>
    <row r="164" spans="1:7" ht="15">
      <c r="A164" s="344" t="s">
        <v>0</v>
      </c>
      <c r="B164" s="11" t="s">
        <v>0</v>
      </c>
      <c r="C164" s="11" t="s">
        <v>102</v>
      </c>
      <c r="D164" s="20" t="s">
        <v>101</v>
      </c>
      <c r="E164" s="42">
        <f>0.0032</f>
        <v>0.0032</v>
      </c>
      <c r="F164" s="43">
        <f>ROUND('Gia VL'!R34/1000,5)</f>
        <v>20454.54545</v>
      </c>
      <c r="G164" s="44">
        <f>ROUND(E164*F164,5)</f>
        <v>65.45455</v>
      </c>
    </row>
    <row r="165" spans="1:7" ht="15">
      <c r="A165" s="344" t="s">
        <v>0</v>
      </c>
      <c r="B165" s="11" t="s">
        <v>0</v>
      </c>
      <c r="C165" s="11" t="s">
        <v>295</v>
      </c>
      <c r="D165" s="20" t="s">
        <v>291</v>
      </c>
      <c r="E165" s="42">
        <f>0.01</f>
        <v>0.01</v>
      </c>
      <c r="F165" s="43"/>
      <c r="G165" s="44">
        <f>ROUND(SUM(G162:G164)*E165/100,5)</f>
        <v>40.18505</v>
      </c>
    </row>
    <row r="166" spans="1:7" ht="15.75">
      <c r="A166" s="344" t="s">
        <v>0</v>
      </c>
      <c r="B166" s="11" t="s">
        <v>0</v>
      </c>
      <c r="C166" s="11" t="s">
        <v>297</v>
      </c>
      <c r="D166" s="20" t="s">
        <v>0</v>
      </c>
      <c r="E166" s="42"/>
      <c r="F166" s="43"/>
      <c r="G166" s="45">
        <f>ROUND(SUM(G167:G170),5)</f>
        <v>32231.16</v>
      </c>
    </row>
    <row r="167" spans="1:7" ht="15">
      <c r="A167" s="344" t="s">
        <v>0</v>
      </c>
      <c r="B167" s="11" t="s">
        <v>0</v>
      </c>
      <c r="C167" s="11" t="s">
        <v>37</v>
      </c>
      <c r="D167" s="20" t="s">
        <v>8</v>
      </c>
      <c r="E167" s="42">
        <f>0.1278</f>
        <v>0.1278</v>
      </c>
      <c r="F167" s="43">
        <f>'Gia NC,CM'!P11</f>
        <v>252200</v>
      </c>
      <c r="G167" s="44">
        <f>ROUND(E167*F167,5)</f>
        <v>32231.16</v>
      </c>
    </row>
    <row r="168" spans="1:7" ht="15">
      <c r="A168" s="344" t="s">
        <v>0</v>
      </c>
      <c r="B168" s="11" t="s">
        <v>0</v>
      </c>
      <c r="C168" s="11" t="s">
        <v>0</v>
      </c>
      <c r="D168" s="20" t="s">
        <v>0</v>
      </c>
      <c r="E168" s="42"/>
      <c r="F168" s="43"/>
      <c r="G168" s="44"/>
    </row>
    <row r="169" spans="1:7" ht="15">
      <c r="A169" s="344" t="s">
        <v>94</v>
      </c>
      <c r="B169" s="11" t="s">
        <v>104</v>
      </c>
      <c r="C169" s="11" t="s">
        <v>105</v>
      </c>
      <c r="D169" s="20" t="s">
        <v>5</v>
      </c>
      <c r="E169" s="42"/>
      <c r="F169" s="43"/>
      <c r="G169" s="44"/>
    </row>
    <row r="170" spans="1:7" ht="15">
      <c r="A170" s="344" t="s">
        <v>0</v>
      </c>
      <c r="B170" s="11" t="s">
        <v>0</v>
      </c>
      <c r="C170" s="11" t="s">
        <v>106</v>
      </c>
      <c r="D170" s="20" t="s">
        <v>0</v>
      </c>
      <c r="E170" s="42"/>
      <c r="F170" s="43"/>
      <c r="G170" s="44"/>
    </row>
    <row r="171" spans="1:7" ht="15.75">
      <c r="A171" s="344" t="s">
        <v>0</v>
      </c>
      <c r="B171" s="11" t="s">
        <v>0</v>
      </c>
      <c r="C171" s="11" t="s">
        <v>296</v>
      </c>
      <c r="D171" s="20" t="s">
        <v>0</v>
      </c>
      <c r="E171" s="42"/>
      <c r="F171" s="43"/>
      <c r="G171" s="45">
        <f>ROUND(SUM(G172:G172),5)</f>
        <v>306562.698</v>
      </c>
    </row>
    <row r="172" spans="1:7" ht="15">
      <c r="A172" s="344" t="s">
        <v>0</v>
      </c>
      <c r="B172" s="11" t="s">
        <v>0</v>
      </c>
      <c r="C172" s="11" t="s">
        <v>462</v>
      </c>
      <c r="D172" s="20" t="s">
        <v>25</v>
      </c>
      <c r="E172" s="42">
        <f>1.22</f>
        <v>1.22</v>
      </c>
      <c r="F172" s="43">
        <f>'Gia VL'!R17</f>
        <v>251280.9</v>
      </c>
      <c r="G172" s="44">
        <f>ROUND(E172*F172,5)</f>
        <v>306562.698</v>
      </c>
    </row>
    <row r="173" spans="1:7" ht="15.75">
      <c r="A173" s="344" t="s">
        <v>0</v>
      </c>
      <c r="B173" s="11" t="s">
        <v>0</v>
      </c>
      <c r="C173" s="11" t="s">
        <v>294</v>
      </c>
      <c r="D173" s="20" t="s">
        <v>0</v>
      </c>
      <c r="E173" s="42"/>
      <c r="F173" s="43"/>
      <c r="G173" s="45">
        <f>ROUND(SUM(G174:G174),5)</f>
        <v>9135.77456</v>
      </c>
    </row>
    <row r="174" spans="1:7" ht="15">
      <c r="A174" s="344" t="s">
        <v>0</v>
      </c>
      <c r="B174" s="11" t="s">
        <v>0</v>
      </c>
      <c r="C174" s="11" t="s">
        <v>7</v>
      </c>
      <c r="D174" s="20" t="s">
        <v>8</v>
      </c>
      <c r="E174" s="42">
        <f>0.0418</f>
        <v>0.0418</v>
      </c>
      <c r="F174" s="43">
        <f>'Gia NC,CM'!P8</f>
        <v>218559.2</v>
      </c>
      <c r="G174" s="44">
        <f>ROUND(E174*F174,5)</f>
        <v>9135.77456</v>
      </c>
    </row>
    <row r="175" spans="1:7" ht="15.75">
      <c r="A175" s="344" t="s">
        <v>0</v>
      </c>
      <c r="B175" s="11" t="s">
        <v>0</v>
      </c>
      <c r="C175" s="11" t="s">
        <v>293</v>
      </c>
      <c r="D175" s="20" t="s">
        <v>0</v>
      </c>
      <c r="E175" s="42"/>
      <c r="F175" s="43"/>
      <c r="G175" s="45">
        <f>ROUND(SUM(G176:G179),5)</f>
        <v>7819.25575</v>
      </c>
    </row>
    <row r="176" spans="1:7" ht="15">
      <c r="A176" s="344" t="s">
        <v>0</v>
      </c>
      <c r="B176" s="11" t="s">
        <v>0</v>
      </c>
      <c r="C176" s="11" t="s">
        <v>19</v>
      </c>
      <c r="D176" s="20" t="s">
        <v>10</v>
      </c>
      <c r="E176" s="42">
        <f>0.02042</f>
        <v>0.02042</v>
      </c>
      <c r="F176" s="43">
        <f>'Gia NC,CM'!P28</f>
        <v>377262.5</v>
      </c>
      <c r="G176" s="44">
        <f>ROUND(E176*F176,5)</f>
        <v>7703.70025</v>
      </c>
    </row>
    <row r="177" spans="1:7" ht="15">
      <c r="A177" s="344" t="s">
        <v>0</v>
      </c>
      <c r="B177" s="11" t="s">
        <v>0</v>
      </c>
      <c r="C177" s="11" t="s">
        <v>292</v>
      </c>
      <c r="D177" s="20" t="s">
        <v>291</v>
      </c>
      <c r="E177" s="42">
        <f>1.5</f>
        <v>1.5</v>
      </c>
      <c r="F177" s="43"/>
      <c r="G177" s="44">
        <f>ROUND(SUM(G176:G176)*E177/100,5)</f>
        <v>115.5555</v>
      </c>
    </row>
    <row r="178" spans="1:7" ht="15">
      <c r="A178" s="344" t="s">
        <v>0</v>
      </c>
      <c r="B178" s="11" t="s">
        <v>0</v>
      </c>
      <c r="C178" s="11" t="s">
        <v>0</v>
      </c>
      <c r="D178" s="20" t="s">
        <v>0</v>
      </c>
      <c r="E178" s="42"/>
      <c r="F178" s="43"/>
      <c r="G178" s="44"/>
    </row>
    <row r="179" spans="1:7" ht="15">
      <c r="A179" s="344" t="s">
        <v>103</v>
      </c>
      <c r="B179" s="11" t="s">
        <v>119</v>
      </c>
      <c r="C179" s="11" t="s">
        <v>120</v>
      </c>
      <c r="D179" s="20" t="s">
        <v>121</v>
      </c>
      <c r="E179" s="42"/>
      <c r="F179" s="43"/>
      <c r="G179" s="44"/>
    </row>
    <row r="180" spans="1:7" ht="15.75">
      <c r="A180" s="344" t="s">
        <v>0</v>
      </c>
      <c r="B180" s="11" t="s">
        <v>0</v>
      </c>
      <c r="C180" s="11" t="s">
        <v>296</v>
      </c>
      <c r="D180" s="20" t="s">
        <v>0</v>
      </c>
      <c r="E180" s="42"/>
      <c r="F180" s="43"/>
      <c r="G180" s="45">
        <f>ROUND(SUM(G181:G182),5)</f>
        <v>239160</v>
      </c>
    </row>
    <row r="181" spans="1:7" ht="15">
      <c r="A181" s="344" t="s">
        <v>0</v>
      </c>
      <c r="B181" s="11" t="s">
        <v>0</v>
      </c>
      <c r="C181" s="11" t="s">
        <v>122</v>
      </c>
      <c r="D181" s="20" t="s">
        <v>123</v>
      </c>
      <c r="E181" s="42">
        <f>0.18</f>
        <v>0.18</v>
      </c>
      <c r="F181" s="43">
        <f>'Gia VL'!R33</f>
        <v>1322000</v>
      </c>
      <c r="G181" s="44">
        <f>ROUND(E181*F181,5)</f>
        <v>237960</v>
      </c>
    </row>
    <row r="182" spans="1:7" ht="15">
      <c r="A182" s="344" t="s">
        <v>0</v>
      </c>
      <c r="B182" s="11" t="s">
        <v>0</v>
      </c>
      <c r="C182" s="11" t="s">
        <v>36</v>
      </c>
      <c r="D182" s="20" t="s">
        <v>25</v>
      </c>
      <c r="E182" s="42">
        <f>0.12</f>
        <v>0.12</v>
      </c>
      <c r="F182" s="43">
        <f>'Gia VL'!R38</f>
        <v>10000</v>
      </c>
      <c r="G182" s="44">
        <f>ROUND(E182*F182,5)</f>
        <v>1200</v>
      </c>
    </row>
    <row r="183" spans="1:7" ht="15.75">
      <c r="A183" s="344" t="s">
        <v>0</v>
      </c>
      <c r="B183" s="11" t="s">
        <v>0</v>
      </c>
      <c r="C183" s="11" t="s">
        <v>294</v>
      </c>
      <c r="D183" s="20" t="s">
        <v>0</v>
      </c>
      <c r="E183" s="42"/>
      <c r="F183" s="43"/>
      <c r="G183" s="45">
        <f>ROUND(SUM(G184:G184),5)</f>
        <v>138710</v>
      </c>
    </row>
    <row r="184" spans="1:7" ht="15">
      <c r="A184" s="344" t="s">
        <v>0</v>
      </c>
      <c r="B184" s="11" t="s">
        <v>0</v>
      </c>
      <c r="C184" s="11" t="s">
        <v>37</v>
      </c>
      <c r="D184" s="20" t="s">
        <v>8</v>
      </c>
      <c r="E184" s="42">
        <f>0.55</f>
        <v>0.55</v>
      </c>
      <c r="F184" s="43">
        <f>'Gia NC,CM'!P11</f>
        <v>252200</v>
      </c>
      <c r="G184" s="44">
        <f>ROUND(E184*F184,5)</f>
        <v>138710</v>
      </c>
    </row>
    <row r="185" spans="1:7" ht="15.75">
      <c r="A185" s="344" t="s">
        <v>0</v>
      </c>
      <c r="B185" s="11" t="s">
        <v>0</v>
      </c>
      <c r="C185" s="11" t="s">
        <v>293</v>
      </c>
      <c r="D185" s="20" t="s">
        <v>0</v>
      </c>
      <c r="E185" s="42"/>
      <c r="F185" s="43"/>
      <c r="G185" s="45">
        <f>ROUND(SUM(G186:G188),5)</f>
        <v>68187.416</v>
      </c>
    </row>
    <row r="186" spans="1:7" ht="15">
      <c r="A186" s="344" t="s">
        <v>0</v>
      </c>
      <c r="B186" s="11" t="s">
        <v>0</v>
      </c>
      <c r="C186" s="11" t="s">
        <v>124</v>
      </c>
      <c r="D186" s="20" t="s">
        <v>10</v>
      </c>
      <c r="E186" s="42">
        <f>0.22</f>
        <v>0.22</v>
      </c>
      <c r="F186" s="43">
        <f>'Gia NC,CM'!P16</f>
        <v>309942.8</v>
      </c>
      <c r="G186" s="44">
        <f>ROUND(E186*F186,5)</f>
        <v>68187.416</v>
      </c>
    </row>
    <row r="187" spans="1:7" ht="15">
      <c r="A187" s="344" t="s">
        <v>0</v>
      </c>
      <c r="B187" s="11" t="s">
        <v>0</v>
      </c>
      <c r="C187" s="11" t="s">
        <v>0</v>
      </c>
      <c r="D187" s="20" t="s">
        <v>0</v>
      </c>
      <c r="E187" s="42"/>
      <c r="F187" s="43"/>
      <c r="G187" s="44"/>
    </row>
    <row r="188" spans="1:7" ht="15">
      <c r="A188" s="344" t="s">
        <v>108</v>
      </c>
      <c r="B188" s="11" t="s">
        <v>126</v>
      </c>
      <c r="C188" s="11" t="s">
        <v>127</v>
      </c>
      <c r="D188" s="20" t="s">
        <v>5</v>
      </c>
      <c r="E188" s="42"/>
      <c r="F188" s="43"/>
      <c r="G188" s="44"/>
    </row>
    <row r="189" spans="1:7" ht="15.75">
      <c r="A189" s="344" t="s">
        <v>0</v>
      </c>
      <c r="B189" s="11" t="s">
        <v>0</v>
      </c>
      <c r="C189" s="11" t="s">
        <v>294</v>
      </c>
      <c r="D189" s="20" t="s">
        <v>0</v>
      </c>
      <c r="E189" s="42"/>
      <c r="F189" s="43"/>
      <c r="G189" s="45">
        <f>ROUND(SUM(G190:G190),5)</f>
        <v>10512.69752</v>
      </c>
    </row>
    <row r="190" spans="1:7" ht="15">
      <c r="A190" s="344" t="s">
        <v>0</v>
      </c>
      <c r="B190" s="11" t="s">
        <v>0</v>
      </c>
      <c r="C190" s="11" t="s">
        <v>7</v>
      </c>
      <c r="D190" s="20" t="s">
        <v>8</v>
      </c>
      <c r="E190" s="42">
        <f>0.0481</f>
        <v>0.0481</v>
      </c>
      <c r="F190" s="43">
        <f>'Gia NC,CM'!P8</f>
        <v>218559.2</v>
      </c>
      <c r="G190" s="44">
        <f>ROUND(E190*F190,5)</f>
        <v>10512.69752</v>
      </c>
    </row>
    <row r="191" spans="1:7" ht="15.75">
      <c r="A191" s="344" t="s">
        <v>0</v>
      </c>
      <c r="B191" s="11" t="s">
        <v>0</v>
      </c>
      <c r="C191" s="11" t="s">
        <v>293</v>
      </c>
      <c r="D191" s="20" t="s">
        <v>0</v>
      </c>
      <c r="E191" s="42"/>
      <c r="F191" s="43"/>
      <c r="G191" s="45">
        <f>ROUND(SUM(G192:G195),5)</f>
        <v>15699.17232</v>
      </c>
    </row>
    <row r="192" spans="1:7" ht="15">
      <c r="A192" s="344" t="s">
        <v>0</v>
      </c>
      <c r="B192" s="11" t="s">
        <v>0</v>
      </c>
      <c r="C192" s="11" t="s">
        <v>128</v>
      </c>
      <c r="D192" s="20" t="s">
        <v>10</v>
      </c>
      <c r="E192" s="42">
        <f>0.00424</f>
        <v>0.00424</v>
      </c>
      <c r="F192" s="43">
        <f>'Gia NC,CM'!P25</f>
        <v>3457123.8</v>
      </c>
      <c r="G192" s="44">
        <f>ROUND(E192*F192,5)</f>
        <v>14658.20491</v>
      </c>
    </row>
    <row r="193" spans="1:7" ht="15">
      <c r="A193" s="344" t="s">
        <v>0</v>
      </c>
      <c r="B193" s="11" t="s">
        <v>0</v>
      </c>
      <c r="C193" s="11" t="s">
        <v>129</v>
      </c>
      <c r="D193" s="20" t="s">
        <v>10</v>
      </c>
      <c r="E193" s="42">
        <f>0.00058</f>
        <v>0.00058</v>
      </c>
      <c r="F193" s="43">
        <f>'Gia NC,CM'!P29</f>
        <v>1794771.4</v>
      </c>
      <c r="G193" s="44">
        <f>ROUND(E193*F193,5)</f>
        <v>1040.96741</v>
      </c>
    </row>
    <row r="194" spans="1:7" ht="15">
      <c r="A194" s="344" t="s">
        <v>0</v>
      </c>
      <c r="B194" s="11" t="s">
        <v>0</v>
      </c>
      <c r="C194" s="11" t="s">
        <v>0</v>
      </c>
      <c r="D194" s="20" t="s">
        <v>0</v>
      </c>
      <c r="E194" s="42"/>
      <c r="F194" s="43"/>
      <c r="G194" s="44"/>
    </row>
    <row r="195" spans="1:7" ht="15">
      <c r="A195" s="344" t="s">
        <v>110</v>
      </c>
      <c r="B195" s="11" t="s">
        <v>138</v>
      </c>
      <c r="C195" s="11" t="s">
        <v>535</v>
      </c>
      <c r="D195" s="20" t="s">
        <v>140</v>
      </c>
      <c r="E195" s="42"/>
      <c r="F195" s="43"/>
      <c r="G195" s="44"/>
    </row>
    <row r="196" spans="1:7" ht="15.75">
      <c r="A196" s="344" t="s">
        <v>0</v>
      </c>
      <c r="B196" s="11" t="s">
        <v>0</v>
      </c>
      <c r="C196" s="11" t="s">
        <v>298</v>
      </c>
      <c r="D196" s="20" t="s">
        <v>0</v>
      </c>
      <c r="E196" s="42"/>
      <c r="F196" s="43"/>
      <c r="G196" s="45">
        <f>ROUND(SUM(G197:G197),5)</f>
        <v>180000</v>
      </c>
    </row>
    <row r="197" spans="1:7" ht="15">
      <c r="A197" s="344" t="s">
        <v>0</v>
      </c>
      <c r="B197" s="11" t="s">
        <v>0</v>
      </c>
      <c r="C197" s="11" t="s">
        <v>534</v>
      </c>
      <c r="D197" s="20" t="s">
        <v>123</v>
      </c>
      <c r="E197" s="42">
        <f>1</f>
        <v>1</v>
      </c>
      <c r="F197" s="43">
        <f>'Gia VL'!R32</f>
        <v>180000</v>
      </c>
      <c r="G197" s="44">
        <f>ROUND(E197*F197,5)</f>
        <v>180000</v>
      </c>
    </row>
    <row r="198" spans="1:7" ht="15.75">
      <c r="A198" s="344" t="s">
        <v>0</v>
      </c>
      <c r="B198" s="11" t="s">
        <v>0</v>
      </c>
      <c r="C198" s="11" t="s">
        <v>297</v>
      </c>
      <c r="D198" s="20" t="s">
        <v>0</v>
      </c>
      <c r="E198" s="42"/>
      <c r="F198" s="43"/>
      <c r="G198" s="45">
        <f>ROUND(SUM(G199:G202),5)</f>
        <v>27742</v>
      </c>
    </row>
    <row r="199" spans="1:7" ht="15">
      <c r="A199" s="344" t="s">
        <v>0</v>
      </c>
      <c r="B199" s="11" t="s">
        <v>0</v>
      </c>
      <c r="C199" s="11" t="s">
        <v>37</v>
      </c>
      <c r="D199" s="20" t="s">
        <v>8</v>
      </c>
      <c r="E199" s="42">
        <f>0.11</f>
        <v>0.11</v>
      </c>
      <c r="F199" s="43">
        <f>'Gia NC,CM'!P11</f>
        <v>252200</v>
      </c>
      <c r="G199" s="44">
        <f>ROUND(E199*F199,5)</f>
        <v>27742</v>
      </c>
    </row>
    <row r="200" spans="1:7" ht="15">
      <c r="A200" s="344" t="s">
        <v>0</v>
      </c>
      <c r="B200" s="11" t="s">
        <v>0</v>
      </c>
      <c r="C200" s="11" t="s">
        <v>0</v>
      </c>
      <c r="D200" s="20" t="s">
        <v>0</v>
      </c>
      <c r="E200" s="42"/>
      <c r="F200" s="43"/>
      <c r="G200" s="44"/>
    </row>
    <row r="201" spans="1:7" ht="15">
      <c r="A201" s="344" t="s">
        <v>113</v>
      </c>
      <c r="B201" s="11" t="s">
        <v>143</v>
      </c>
      <c r="C201" s="11" t="s">
        <v>144</v>
      </c>
      <c r="D201" s="20" t="s">
        <v>97</v>
      </c>
      <c r="E201" s="42"/>
      <c r="F201" s="43"/>
      <c r="G201" s="44"/>
    </row>
    <row r="202" spans="1:7" ht="15">
      <c r="A202" s="344" t="s">
        <v>0</v>
      </c>
      <c r="B202" s="11" t="s">
        <v>0</v>
      </c>
      <c r="C202" s="11" t="s">
        <v>145</v>
      </c>
      <c r="D202" s="20" t="s">
        <v>0</v>
      </c>
      <c r="E202" s="42"/>
      <c r="F202" s="43"/>
      <c r="G202" s="44"/>
    </row>
    <row r="203" spans="1:7" ht="15.75">
      <c r="A203" s="344" t="s">
        <v>0</v>
      </c>
      <c r="B203" s="11" t="s">
        <v>0</v>
      </c>
      <c r="C203" s="11" t="s">
        <v>298</v>
      </c>
      <c r="D203" s="20" t="s">
        <v>0</v>
      </c>
      <c r="E203" s="42"/>
      <c r="F203" s="43"/>
      <c r="G203" s="45">
        <f>ROUND(SUM(G204:G205),5)</f>
        <v>488763.32673</v>
      </c>
    </row>
    <row r="204" spans="1:7" ht="15">
      <c r="A204" s="344" t="s">
        <v>0</v>
      </c>
      <c r="B204" s="11" t="s">
        <v>0</v>
      </c>
      <c r="C204" s="11" t="s">
        <v>146</v>
      </c>
      <c r="D204" s="20" t="s">
        <v>99</v>
      </c>
      <c r="E204" s="42">
        <f>1</f>
        <v>1</v>
      </c>
      <c r="F204" s="43">
        <f>'Gia VL'!R63</f>
        <v>488519.0672</v>
      </c>
      <c r="G204" s="44">
        <f>ROUND(E204*F204,5)</f>
        <v>488519.0672</v>
      </c>
    </row>
    <row r="205" spans="1:7" ht="15">
      <c r="A205" s="344" t="s">
        <v>0</v>
      </c>
      <c r="B205" s="11" t="s">
        <v>0</v>
      </c>
      <c r="C205" s="11" t="s">
        <v>295</v>
      </c>
      <c r="D205" s="20" t="s">
        <v>291</v>
      </c>
      <c r="E205" s="42">
        <f>0.05</f>
        <v>0.05</v>
      </c>
      <c r="F205" s="43"/>
      <c r="G205" s="44">
        <f>ROUND(SUM(G204:G204)*E205/100,5)</f>
        <v>244.25953</v>
      </c>
    </row>
    <row r="206" spans="1:7" ht="15.75">
      <c r="A206" s="344" t="s">
        <v>0</v>
      </c>
      <c r="B206" s="11" t="s">
        <v>0</v>
      </c>
      <c r="C206" s="11" t="s">
        <v>297</v>
      </c>
      <c r="D206" s="20" t="s">
        <v>0</v>
      </c>
      <c r="E206" s="42"/>
      <c r="F206" s="43"/>
      <c r="G206" s="45">
        <f>ROUND(SUM(G207:G207),5)</f>
        <v>38334.4</v>
      </c>
    </row>
    <row r="207" spans="1:7" ht="15">
      <c r="A207" s="344" t="s">
        <v>0</v>
      </c>
      <c r="B207" s="11" t="s">
        <v>0</v>
      </c>
      <c r="C207" s="11" t="s">
        <v>37</v>
      </c>
      <c r="D207" s="20" t="s">
        <v>8</v>
      </c>
      <c r="E207" s="42">
        <f>0.38/2.5</f>
        <v>0.152</v>
      </c>
      <c r="F207" s="43">
        <f>'Gia NC,CM'!P11</f>
        <v>252200</v>
      </c>
      <c r="G207" s="44">
        <f>ROUND(E207*F207,5)</f>
        <v>38334.4</v>
      </c>
    </row>
    <row r="208" spans="1:7" ht="15.75">
      <c r="A208" s="344" t="s">
        <v>0</v>
      </c>
      <c r="B208" s="11" t="s">
        <v>0</v>
      </c>
      <c r="C208" s="11" t="s">
        <v>299</v>
      </c>
      <c r="D208" s="20" t="s">
        <v>0</v>
      </c>
      <c r="E208" s="42"/>
      <c r="F208" s="43"/>
      <c r="G208" s="45">
        <f>ROUND(SUM(G209:G213),5)</f>
        <v>46579.16978</v>
      </c>
    </row>
    <row r="209" spans="1:7" ht="15">
      <c r="A209" s="344" t="s">
        <v>0</v>
      </c>
      <c r="B209" s="11" t="s">
        <v>0</v>
      </c>
      <c r="C209" s="11" t="s">
        <v>147</v>
      </c>
      <c r="D209" s="20" t="s">
        <v>10</v>
      </c>
      <c r="E209" s="42">
        <f>0.062/2.5</f>
        <v>0.0248</v>
      </c>
      <c r="F209" s="43">
        <f>'Gia NC,CM'!P13</f>
        <v>1788754.6</v>
      </c>
      <c r="G209" s="44">
        <f>ROUND(E209*F209,5)</f>
        <v>44361.11408</v>
      </c>
    </row>
    <row r="210" spans="1:7" ht="15">
      <c r="A210" s="344" t="s">
        <v>0</v>
      </c>
      <c r="B210" s="11" t="s">
        <v>0</v>
      </c>
      <c r="C210" s="11" t="s">
        <v>292</v>
      </c>
      <c r="D210" s="20" t="s">
        <v>291</v>
      </c>
      <c r="E210" s="42">
        <f>5</f>
        <v>5</v>
      </c>
      <c r="F210" s="43"/>
      <c r="G210" s="44">
        <f>ROUND(SUM(G209:G209)*E210/100,5)</f>
        <v>2218.0557</v>
      </c>
    </row>
    <row r="211" spans="1:7" ht="15">
      <c r="A211" s="344" t="s">
        <v>0</v>
      </c>
      <c r="B211" s="11" t="s">
        <v>0</v>
      </c>
      <c r="C211" s="11" t="s">
        <v>0</v>
      </c>
      <c r="D211" s="20" t="s">
        <v>0</v>
      </c>
      <c r="E211" s="42"/>
      <c r="F211" s="43"/>
      <c r="G211" s="44"/>
    </row>
    <row r="212" spans="1:7" ht="15">
      <c r="A212" s="344" t="s">
        <v>115</v>
      </c>
      <c r="B212" s="11" t="s">
        <v>149</v>
      </c>
      <c r="C212" s="11" t="s">
        <v>565</v>
      </c>
      <c r="D212" s="20" t="s">
        <v>97</v>
      </c>
      <c r="E212" s="42"/>
      <c r="F212" s="43"/>
      <c r="G212" s="44"/>
    </row>
    <row r="213" spans="1:7" ht="15">
      <c r="A213" s="344" t="s">
        <v>0</v>
      </c>
      <c r="B213" s="11" t="s">
        <v>0</v>
      </c>
      <c r="C213" s="11" t="s">
        <v>151</v>
      </c>
      <c r="D213" s="20" t="s">
        <v>0</v>
      </c>
      <c r="E213" s="42"/>
      <c r="F213" s="43"/>
      <c r="G213" s="44"/>
    </row>
    <row r="214" spans="1:7" ht="15.75">
      <c r="A214" s="344" t="s">
        <v>0</v>
      </c>
      <c r="B214" s="11" t="s">
        <v>0</v>
      </c>
      <c r="C214" s="11" t="s">
        <v>298</v>
      </c>
      <c r="D214" s="20" t="s">
        <v>0</v>
      </c>
      <c r="E214" s="42"/>
      <c r="F214" s="43"/>
      <c r="G214" s="45">
        <f>ROUND(SUM(G215:G216),5)</f>
        <v>417227.57673</v>
      </c>
    </row>
    <row r="215" spans="1:7" ht="15">
      <c r="A215" s="344" t="s">
        <v>0</v>
      </c>
      <c r="B215" s="11" t="s">
        <v>0</v>
      </c>
      <c r="C215" s="11" t="s">
        <v>152</v>
      </c>
      <c r="D215" s="20" t="s">
        <v>99</v>
      </c>
      <c r="E215" s="42">
        <f>1</f>
        <v>1</v>
      </c>
      <c r="F215" s="43">
        <f>'Gia VL'!R67</f>
        <v>417019.0672</v>
      </c>
      <c r="G215" s="44">
        <f>ROUND(E215*F215,5)</f>
        <v>417019.0672</v>
      </c>
    </row>
    <row r="216" spans="1:7" ht="15">
      <c r="A216" s="344" t="s">
        <v>0</v>
      </c>
      <c r="B216" s="11" t="s">
        <v>0</v>
      </c>
      <c r="C216" s="11" t="s">
        <v>295</v>
      </c>
      <c r="D216" s="20" t="s">
        <v>291</v>
      </c>
      <c r="E216" s="42">
        <f>0.05</f>
        <v>0.05</v>
      </c>
      <c r="F216" s="43"/>
      <c r="G216" s="44">
        <f>ROUND(SUM(G215:G215)*E216/100,5)</f>
        <v>208.50953</v>
      </c>
    </row>
    <row r="217" spans="1:7" ht="15.75">
      <c r="A217" s="344" t="s">
        <v>0</v>
      </c>
      <c r="B217" s="11" t="s">
        <v>0</v>
      </c>
      <c r="C217" s="11" t="s">
        <v>297</v>
      </c>
      <c r="D217" s="20" t="s">
        <v>0</v>
      </c>
      <c r="E217" s="42"/>
      <c r="F217" s="43"/>
      <c r="G217" s="45">
        <f>ROUND(SUM(G218:G218),5)</f>
        <v>38334.4</v>
      </c>
    </row>
    <row r="218" spans="1:7" ht="15">
      <c r="A218" s="344" t="s">
        <v>0</v>
      </c>
      <c r="B218" s="11" t="s">
        <v>0</v>
      </c>
      <c r="C218" s="11" t="s">
        <v>37</v>
      </c>
      <c r="D218" s="20" t="s">
        <v>8</v>
      </c>
      <c r="E218" s="42">
        <f>0.38/2.5</f>
        <v>0.152</v>
      </c>
      <c r="F218" s="43">
        <f>'Gia NC,CM'!P11</f>
        <v>252200</v>
      </c>
      <c r="G218" s="44">
        <f>ROUND(E218*F218,5)</f>
        <v>38334.4</v>
      </c>
    </row>
    <row r="219" spans="1:14" ht="15.75">
      <c r="A219" s="344" t="s">
        <v>0</v>
      </c>
      <c r="B219" s="11" t="s">
        <v>0</v>
      </c>
      <c r="C219" s="11" t="s">
        <v>299</v>
      </c>
      <c r="D219" s="20" t="s">
        <v>0</v>
      </c>
      <c r="E219" s="42"/>
      <c r="F219" s="43"/>
      <c r="G219" s="45">
        <f>ROUND(SUM(G220:G224),5)</f>
        <v>46579.16978</v>
      </c>
      <c r="J219" s="6" t="s">
        <v>298</v>
      </c>
      <c r="K219" s="6" t="s">
        <v>0</v>
      </c>
      <c r="N219" s="45">
        <f>ROUND(SUM(N220:N223),5)</f>
        <v>17426.56754</v>
      </c>
    </row>
    <row r="220" spans="1:14" ht="15">
      <c r="A220" s="344" t="s">
        <v>0</v>
      </c>
      <c r="B220" s="11" t="s">
        <v>0</v>
      </c>
      <c r="C220" s="11" t="s">
        <v>147</v>
      </c>
      <c r="D220" s="20" t="s">
        <v>10</v>
      </c>
      <c r="E220" s="42">
        <f>0.062/2.5</f>
        <v>0.0248</v>
      </c>
      <c r="F220" s="43">
        <f>'Gia NC,CM'!P13</f>
        <v>1788754.6</v>
      </c>
      <c r="G220" s="44">
        <f>ROUND(E220*F220,5)</f>
        <v>44361.11408</v>
      </c>
      <c r="J220" s="6" t="s">
        <v>158</v>
      </c>
      <c r="K220" s="6" t="s">
        <v>33</v>
      </c>
      <c r="L220" s="42">
        <f>0.0096*231</f>
        <v>2.2176</v>
      </c>
      <c r="M220" s="6">
        <v>1491.5271</v>
      </c>
      <c r="N220" s="44">
        <f>ROUND(L220*M220,5)</f>
        <v>3307.6105</v>
      </c>
    </row>
    <row r="221" spans="1:14" ht="15">
      <c r="A221" s="344" t="s">
        <v>0</v>
      </c>
      <c r="B221" s="11" t="s">
        <v>0</v>
      </c>
      <c r="C221" s="11" t="s">
        <v>292</v>
      </c>
      <c r="D221" s="20" t="s">
        <v>291</v>
      </c>
      <c r="E221" s="42">
        <f>5</f>
        <v>5</v>
      </c>
      <c r="F221" s="43"/>
      <c r="G221" s="44">
        <f>ROUND(SUM(G220:G220)*E221/100,5)</f>
        <v>2218.0557</v>
      </c>
      <c r="J221" s="6" t="s">
        <v>159</v>
      </c>
      <c r="K221" s="6" t="s">
        <v>33</v>
      </c>
      <c r="L221" s="42">
        <f>0.0096*82</f>
        <v>0.7871999999999999</v>
      </c>
      <c r="M221" s="6">
        <v>12000</v>
      </c>
      <c r="N221" s="44">
        <f>ROUND(L221*M221,5)</f>
        <v>9446.4</v>
      </c>
    </row>
    <row r="222" spans="1:14" ht="15">
      <c r="A222" s="344" t="s">
        <v>0</v>
      </c>
      <c r="B222" s="11" t="s">
        <v>0</v>
      </c>
      <c r="C222" s="11" t="s">
        <v>0</v>
      </c>
      <c r="D222" s="20" t="s">
        <v>0</v>
      </c>
      <c r="E222" s="42"/>
      <c r="F222" s="43"/>
      <c r="G222" s="44"/>
      <c r="J222" s="6" t="s">
        <v>160</v>
      </c>
      <c r="K222" s="6" t="s">
        <v>25</v>
      </c>
      <c r="L222" s="42">
        <f>0.0096*1.224</f>
        <v>0.0117504</v>
      </c>
      <c r="M222" s="6">
        <v>394170.5</v>
      </c>
      <c r="N222" s="44">
        <f>ROUND(L222*M222,5)</f>
        <v>4631.66104</v>
      </c>
    </row>
    <row r="223" spans="1:14" ht="15">
      <c r="A223" s="345" t="s">
        <v>118</v>
      </c>
      <c r="B223" s="336" t="s">
        <v>591</v>
      </c>
      <c r="C223" s="336" t="s">
        <v>592</v>
      </c>
      <c r="D223" s="337" t="s">
        <v>593</v>
      </c>
      <c r="E223" s="338"/>
      <c r="F223" s="339"/>
      <c r="G223" s="340"/>
      <c r="J223" s="6" t="s">
        <v>36</v>
      </c>
      <c r="K223" s="6" t="s">
        <v>25</v>
      </c>
      <c r="L223" s="42">
        <f>0.0096*0.426</f>
        <v>0.0040896</v>
      </c>
      <c r="M223" s="6">
        <v>10000</v>
      </c>
      <c r="N223" s="44">
        <f>ROUND(L223*M223,5)</f>
        <v>40.896</v>
      </c>
    </row>
    <row r="224" spans="1:14" ht="15.75">
      <c r="A224" s="345" t="s">
        <v>0</v>
      </c>
      <c r="B224" s="336" t="s">
        <v>0</v>
      </c>
      <c r="C224" s="336" t="s">
        <v>157</v>
      </c>
      <c r="D224" s="337" t="s">
        <v>0</v>
      </c>
      <c r="E224" s="338"/>
      <c r="F224" s="339"/>
      <c r="G224" s="340"/>
      <c r="J224" s="6" t="s">
        <v>297</v>
      </c>
      <c r="K224" s="6" t="s">
        <v>0</v>
      </c>
      <c r="L224" s="42"/>
      <c r="N224" s="45">
        <f>ROUND(SUM(N225:N231),5)</f>
        <v>32786</v>
      </c>
    </row>
    <row r="225" spans="1:14" ht="15.75">
      <c r="A225" s="345" t="s">
        <v>0</v>
      </c>
      <c r="B225" s="336" t="s">
        <v>0</v>
      </c>
      <c r="C225" s="336" t="s">
        <v>298</v>
      </c>
      <c r="D225" s="337" t="s">
        <v>0</v>
      </c>
      <c r="E225" s="338"/>
      <c r="F225" s="339"/>
      <c r="G225" s="341">
        <f>ROUND(SUM(G226:G227),5)</f>
        <v>75990</v>
      </c>
      <c r="J225" s="6" t="s">
        <v>37</v>
      </c>
      <c r="K225" s="6" t="s">
        <v>8</v>
      </c>
      <c r="L225" s="42">
        <f>0.13</f>
        <v>0.13</v>
      </c>
      <c r="M225" s="6">
        <v>252200</v>
      </c>
      <c r="N225" s="44">
        <f>ROUND(L225*M225,5)</f>
        <v>32786</v>
      </c>
    </row>
    <row r="226" spans="1:7" ht="15.75">
      <c r="A226" s="345" t="s">
        <v>0</v>
      </c>
      <c r="B226" s="336" t="s">
        <v>0</v>
      </c>
      <c r="C226" s="161" t="s">
        <v>594</v>
      </c>
      <c r="D226" s="195" t="s">
        <v>596</v>
      </c>
      <c r="E226" s="162">
        <f>1</f>
        <v>1</v>
      </c>
      <c r="F226" s="339">
        <f>ROUND('Gia VL'!R69,5)</f>
        <v>75000</v>
      </c>
      <c r="G226" s="340">
        <f>ROUND(E226*F226,5)</f>
        <v>75000</v>
      </c>
    </row>
    <row r="227" spans="1:7" ht="15.75">
      <c r="A227" s="345" t="s">
        <v>0</v>
      </c>
      <c r="B227" s="336" t="s">
        <v>0</v>
      </c>
      <c r="C227" s="161" t="s">
        <v>595</v>
      </c>
      <c r="D227" s="195" t="s">
        <v>33</v>
      </c>
      <c r="E227" s="162">
        <f>0.066</f>
        <v>0.066</v>
      </c>
      <c r="F227" s="339">
        <f>ROUND('Gia VL'!R70/1000,5)</f>
        <v>15000</v>
      </c>
      <c r="G227" s="340">
        <f>ROUND(E227*F227,5)</f>
        <v>990</v>
      </c>
    </row>
    <row r="228" spans="1:7" ht="15.75">
      <c r="A228" s="345" t="s">
        <v>0</v>
      </c>
      <c r="B228" s="336" t="s">
        <v>0</v>
      </c>
      <c r="C228" s="336" t="s">
        <v>297</v>
      </c>
      <c r="D228" s="195" t="s">
        <v>0</v>
      </c>
      <c r="E228" s="162"/>
      <c r="F228" s="339"/>
      <c r="G228" s="341">
        <f>ROUND(SUM(G229:G231),5)</f>
        <v>22698</v>
      </c>
    </row>
    <row r="229" spans="1:7" ht="15.75">
      <c r="A229" s="345" t="s">
        <v>0</v>
      </c>
      <c r="B229" s="336" t="s">
        <v>0</v>
      </c>
      <c r="C229" s="336" t="s">
        <v>37</v>
      </c>
      <c r="D229" s="195" t="s">
        <v>553</v>
      </c>
      <c r="E229" s="162">
        <f>0.09</f>
        <v>0.09</v>
      </c>
      <c r="F229" s="339">
        <f>'Gia NC,CM'!P11</f>
        <v>252200</v>
      </c>
      <c r="G229" s="340">
        <f>ROUND(E229*F229,5)</f>
        <v>22698</v>
      </c>
    </row>
    <row r="230" spans="1:7" ht="15">
      <c r="A230" s="345" t="s">
        <v>0</v>
      </c>
      <c r="B230" s="336" t="s">
        <v>0</v>
      </c>
      <c r="C230" s="336" t="s">
        <v>0</v>
      </c>
      <c r="D230" s="337" t="s">
        <v>0</v>
      </c>
      <c r="E230" s="338"/>
      <c r="F230" s="339"/>
      <c r="G230" s="340"/>
    </row>
    <row r="231" spans="1:7" ht="15">
      <c r="A231" s="345" t="s">
        <v>125</v>
      </c>
      <c r="B231" s="336" t="s">
        <v>165</v>
      </c>
      <c r="C231" s="336" t="s">
        <v>166</v>
      </c>
      <c r="D231" s="337" t="s">
        <v>167</v>
      </c>
      <c r="E231" s="338"/>
      <c r="F231" s="339"/>
      <c r="G231" s="340"/>
    </row>
    <row r="232" spans="1:7" ht="15.75">
      <c r="A232" s="345" t="s">
        <v>0</v>
      </c>
      <c r="B232" s="336" t="s">
        <v>0</v>
      </c>
      <c r="C232" s="336" t="s">
        <v>296</v>
      </c>
      <c r="D232" s="337" t="s">
        <v>0</v>
      </c>
      <c r="E232" s="338"/>
      <c r="F232" s="339"/>
      <c r="G232" s="341">
        <f>ROUND(SUM(G233:G240),5)</f>
        <v>181636.00182</v>
      </c>
    </row>
    <row r="233" spans="1:7" ht="15">
      <c r="A233" s="345" t="s">
        <v>0</v>
      </c>
      <c r="B233" s="336" t="s">
        <v>0</v>
      </c>
      <c r="C233" s="336" t="s">
        <v>169</v>
      </c>
      <c r="D233" s="337" t="s">
        <v>167</v>
      </c>
      <c r="E233" s="338">
        <f>4</f>
        <v>4</v>
      </c>
      <c r="F233" s="339">
        <f>'Gia VL'!R39</f>
        <v>5000</v>
      </c>
      <c r="G233" s="340">
        <f aca="true" t="shared" si="0" ref="G233:G239">ROUND(E233*F233,5)</f>
        <v>20000</v>
      </c>
    </row>
    <row r="234" spans="1:7" ht="15">
      <c r="A234" s="345" t="s">
        <v>0</v>
      </c>
      <c r="B234" s="336" t="s">
        <v>0</v>
      </c>
      <c r="C234" s="336" t="s">
        <v>170</v>
      </c>
      <c r="D234" s="337" t="s">
        <v>167</v>
      </c>
      <c r="E234" s="338">
        <f>4</f>
        <v>4</v>
      </c>
      <c r="F234" s="339">
        <f>'Gia VL'!R21</f>
        <v>26364</v>
      </c>
      <c r="G234" s="340">
        <f t="shared" si="0"/>
        <v>105456</v>
      </c>
    </row>
    <row r="235" spans="1:7" ht="15">
      <c r="A235" s="345" t="s">
        <v>0</v>
      </c>
      <c r="B235" s="336" t="s">
        <v>0</v>
      </c>
      <c r="C235" s="336" t="s">
        <v>171</v>
      </c>
      <c r="D235" s="337" t="s">
        <v>123</v>
      </c>
      <c r="E235" s="338">
        <f>0.1</f>
        <v>0.1</v>
      </c>
      <c r="F235" s="339">
        <f>'Gia VL'!R8</f>
        <v>12000</v>
      </c>
      <c r="G235" s="340">
        <f t="shared" si="0"/>
        <v>1200</v>
      </c>
    </row>
    <row r="236" spans="1:7" ht="15">
      <c r="A236" s="345" t="s">
        <v>0</v>
      </c>
      <c r="B236" s="336" t="s">
        <v>0</v>
      </c>
      <c r="C236" s="336" t="s">
        <v>172</v>
      </c>
      <c r="D236" s="337" t="s">
        <v>33</v>
      </c>
      <c r="E236" s="338">
        <f>0.05</f>
        <v>0.05</v>
      </c>
      <c r="F236" s="339">
        <f>ROUND('Gia VL'!R57/1000,5)</f>
        <v>18518.51852</v>
      </c>
      <c r="G236" s="340">
        <f t="shared" si="0"/>
        <v>925.92593</v>
      </c>
    </row>
    <row r="237" spans="1:7" ht="15">
      <c r="A237" s="345" t="s">
        <v>0</v>
      </c>
      <c r="B237" s="336" t="s">
        <v>0</v>
      </c>
      <c r="C237" s="336" t="s">
        <v>36</v>
      </c>
      <c r="D237" s="337" t="s">
        <v>25</v>
      </c>
      <c r="E237" s="338">
        <f>0.012</f>
        <v>0.012</v>
      </c>
      <c r="F237" s="339">
        <f>'Gia VL'!R38</f>
        <v>10000</v>
      </c>
      <c r="G237" s="340">
        <f t="shared" si="0"/>
        <v>120</v>
      </c>
    </row>
    <row r="238" spans="1:7" ht="15">
      <c r="A238" s="345" t="s">
        <v>0</v>
      </c>
      <c r="B238" s="336" t="s">
        <v>0</v>
      </c>
      <c r="C238" s="336" t="s">
        <v>173</v>
      </c>
      <c r="D238" s="337" t="s">
        <v>33</v>
      </c>
      <c r="E238" s="338">
        <f>4.78</f>
        <v>4.78</v>
      </c>
      <c r="F238" s="339">
        <f>ROUND('Gia VL'!R40/1000,5)</f>
        <v>7910</v>
      </c>
      <c r="G238" s="340">
        <f t="shared" si="0"/>
        <v>37809.8</v>
      </c>
    </row>
    <row r="239" spans="1:7" ht="15">
      <c r="A239" s="345" t="s">
        <v>0</v>
      </c>
      <c r="B239" s="336" t="s">
        <v>0</v>
      </c>
      <c r="C239" s="336" t="s">
        <v>174</v>
      </c>
      <c r="D239" s="337" t="s">
        <v>25</v>
      </c>
      <c r="E239" s="338">
        <f>0.042</f>
        <v>0.042</v>
      </c>
      <c r="F239" s="339">
        <f>'Gia VL'!R62</f>
        <v>320000</v>
      </c>
      <c r="G239" s="340">
        <f t="shared" si="0"/>
        <v>13440</v>
      </c>
    </row>
    <row r="240" spans="1:7" ht="15">
      <c r="A240" s="345" t="s">
        <v>0</v>
      </c>
      <c r="B240" s="336" t="s">
        <v>0</v>
      </c>
      <c r="C240" s="336" t="s">
        <v>295</v>
      </c>
      <c r="D240" s="337" t="s">
        <v>291</v>
      </c>
      <c r="E240" s="338">
        <f>1.5</f>
        <v>1.5</v>
      </c>
      <c r="F240" s="339"/>
      <c r="G240" s="340">
        <f>ROUND(SUM(G233:G239)*E240/100,5)</f>
        <v>2684.27589</v>
      </c>
    </row>
    <row r="241" spans="1:7" ht="15.75">
      <c r="A241" s="345" t="s">
        <v>0</v>
      </c>
      <c r="B241" s="336" t="s">
        <v>0</v>
      </c>
      <c r="C241" s="336" t="s">
        <v>294</v>
      </c>
      <c r="D241" s="337" t="s">
        <v>0</v>
      </c>
      <c r="E241" s="338"/>
      <c r="F241" s="339"/>
      <c r="G241" s="341">
        <f>ROUND(SUM(G242:G244),5)</f>
        <v>143878</v>
      </c>
    </row>
    <row r="242" spans="1:7" ht="15">
      <c r="A242" s="345" t="s">
        <v>0</v>
      </c>
      <c r="B242" s="336" t="s">
        <v>0</v>
      </c>
      <c r="C242" s="336" t="s">
        <v>175</v>
      </c>
      <c r="D242" s="337" t="s">
        <v>8</v>
      </c>
      <c r="E242" s="338">
        <f>0.602</f>
        <v>0.602</v>
      </c>
      <c r="F242" s="339">
        <f>'Gia NC,CM'!P10</f>
        <v>239000</v>
      </c>
      <c r="G242" s="340">
        <f>ROUND(E242*F242,5)</f>
        <v>143878</v>
      </c>
    </row>
    <row r="243" spans="1:7" ht="15">
      <c r="A243" s="345" t="s">
        <v>0</v>
      </c>
      <c r="B243" s="336" t="s">
        <v>0</v>
      </c>
      <c r="C243" s="336" t="s">
        <v>0</v>
      </c>
      <c r="D243" s="337" t="s">
        <v>0</v>
      </c>
      <c r="E243" s="338"/>
      <c r="F243" s="339"/>
      <c r="G243" s="340"/>
    </row>
    <row r="244" spans="1:7" ht="15">
      <c r="A244" s="345" t="s">
        <v>130</v>
      </c>
      <c r="B244" s="336" t="s">
        <v>177</v>
      </c>
      <c r="C244" s="336" t="s">
        <v>178</v>
      </c>
      <c r="D244" s="337" t="s">
        <v>179</v>
      </c>
      <c r="E244" s="338"/>
      <c r="F244" s="339"/>
      <c r="G244" s="340"/>
    </row>
    <row r="245" spans="1:7" ht="15.75">
      <c r="A245" s="345" t="s">
        <v>0</v>
      </c>
      <c r="B245" s="336" t="s">
        <v>0</v>
      </c>
      <c r="C245" s="336" t="s">
        <v>296</v>
      </c>
      <c r="D245" s="337" t="s">
        <v>0</v>
      </c>
      <c r="E245" s="338"/>
      <c r="F245" s="339"/>
      <c r="G245" s="341">
        <f>ROUND(SUM(G246:G246),5)</f>
        <v>9000</v>
      </c>
    </row>
    <row r="246" spans="1:7" ht="15">
      <c r="A246" s="345" t="s">
        <v>0</v>
      </c>
      <c r="B246" s="336" t="s">
        <v>0</v>
      </c>
      <c r="C246" s="336" t="s">
        <v>36</v>
      </c>
      <c r="D246" s="337" t="s">
        <v>25</v>
      </c>
      <c r="E246" s="338">
        <f>0.9</f>
        <v>0.9</v>
      </c>
      <c r="F246" s="339">
        <f>'Gia VL'!R38</f>
        <v>10000</v>
      </c>
      <c r="G246" s="340">
        <f>ROUND(E246*F246,5)</f>
        <v>9000</v>
      </c>
    </row>
    <row r="247" spans="1:7" ht="15.75">
      <c r="A247" s="345" t="s">
        <v>0</v>
      </c>
      <c r="B247" s="336" t="s">
        <v>0</v>
      </c>
      <c r="C247" s="336" t="s">
        <v>294</v>
      </c>
      <c r="D247" s="337" t="s">
        <v>0</v>
      </c>
      <c r="E247" s="338"/>
      <c r="F247" s="339"/>
      <c r="G247" s="341">
        <f>ROUND(SUM(G248),5)</f>
        <v>166105</v>
      </c>
    </row>
    <row r="248" spans="1:7" ht="15">
      <c r="A248" s="345" t="s">
        <v>0</v>
      </c>
      <c r="B248" s="336" t="s">
        <v>0</v>
      </c>
      <c r="C248" s="336" t="s">
        <v>175</v>
      </c>
      <c r="D248" s="337" t="s">
        <v>8</v>
      </c>
      <c r="E248" s="338">
        <f>0.695</f>
        <v>0.695</v>
      </c>
      <c r="F248" s="339">
        <f>'Gia NC,CM'!P10</f>
        <v>239000</v>
      </c>
      <c r="G248" s="340">
        <f>ROUND(E248*F248,5)</f>
        <v>166105</v>
      </c>
    </row>
    <row r="249" spans="1:7" ht="15.75">
      <c r="A249" s="345" t="s">
        <v>0</v>
      </c>
      <c r="B249" s="336" t="s">
        <v>0</v>
      </c>
      <c r="C249" s="336" t="s">
        <v>603</v>
      </c>
      <c r="D249" s="336" t="s">
        <v>0</v>
      </c>
      <c r="E249" s="338"/>
      <c r="F249" s="339"/>
      <c r="G249" s="341">
        <f>ROUND(SUM(G250),5)</f>
        <v>47019.0756</v>
      </c>
    </row>
    <row r="250" spans="1:7" ht="15">
      <c r="A250" s="345" t="s">
        <v>0</v>
      </c>
      <c r="B250" s="336" t="s">
        <v>0</v>
      </c>
      <c r="C250" s="336" t="s">
        <v>198</v>
      </c>
      <c r="D250" s="336" t="s">
        <v>10</v>
      </c>
      <c r="E250" s="338">
        <f>0.042</f>
        <v>0.042</v>
      </c>
      <c r="F250" s="339">
        <f>'Gia NC,CM'!P33</f>
        <v>1119501.8</v>
      </c>
      <c r="G250" s="340">
        <f>ROUND(E250*F250,5)</f>
        <v>47019.0756</v>
      </c>
    </row>
    <row r="251" spans="1:7" ht="15">
      <c r="A251" s="345" t="s">
        <v>0</v>
      </c>
      <c r="B251" s="336" t="s">
        <v>0</v>
      </c>
      <c r="C251" s="336" t="s">
        <v>0</v>
      </c>
      <c r="D251" s="337" t="s">
        <v>0</v>
      </c>
      <c r="E251" s="338"/>
      <c r="F251" s="339"/>
      <c r="G251" s="340"/>
    </row>
    <row r="252" spans="1:7" ht="15">
      <c r="A252" s="345" t="s">
        <v>133</v>
      </c>
      <c r="B252" s="336" t="s">
        <v>181</v>
      </c>
      <c r="C252" s="336" t="s">
        <v>182</v>
      </c>
      <c r="D252" s="337" t="s">
        <v>5</v>
      </c>
      <c r="E252" s="338"/>
      <c r="F252" s="339"/>
      <c r="G252" s="340"/>
    </row>
    <row r="253" spans="1:7" ht="15">
      <c r="A253" s="345" t="s">
        <v>0</v>
      </c>
      <c r="B253" s="336" t="s">
        <v>0</v>
      </c>
      <c r="C253" s="336" t="s">
        <v>54</v>
      </c>
      <c r="D253" s="337" t="s">
        <v>0</v>
      </c>
      <c r="E253" s="338"/>
      <c r="F253" s="339"/>
      <c r="G253" s="340"/>
    </row>
    <row r="254" spans="1:7" ht="15.75">
      <c r="A254" s="344" t="s">
        <v>0</v>
      </c>
      <c r="B254" s="11" t="s">
        <v>0</v>
      </c>
      <c r="C254" s="11" t="s">
        <v>296</v>
      </c>
      <c r="D254" s="20" t="s">
        <v>0</v>
      </c>
      <c r="E254" s="42"/>
      <c r="F254" s="43"/>
      <c r="G254" s="45">
        <f>ROUND(SUM(G255:G261),5)</f>
        <v>1083373.89902</v>
      </c>
    </row>
    <row r="255" spans="1:7" ht="15">
      <c r="A255" s="344" t="s">
        <v>0</v>
      </c>
      <c r="B255" s="11" t="s">
        <v>0</v>
      </c>
      <c r="C255" s="11" t="s">
        <v>32</v>
      </c>
      <c r="D255" s="20" t="s">
        <v>33</v>
      </c>
      <c r="E255" s="42">
        <f>1.025*301</f>
        <v>308.525</v>
      </c>
      <c r="F255" s="43">
        <f>ROUND('Gia VL'!R56/1000,5)</f>
        <v>1531.6598</v>
      </c>
      <c r="G255" s="44">
        <f aca="true" t="shared" si="1" ref="G255:G260">ROUND(E255*F255,5)</f>
        <v>472555.3398</v>
      </c>
    </row>
    <row r="256" spans="1:7" ht="15">
      <c r="A256" s="344" t="s">
        <v>0</v>
      </c>
      <c r="B256" s="11" t="s">
        <v>0</v>
      </c>
      <c r="C256" s="11" t="s">
        <v>34</v>
      </c>
      <c r="D256" s="20" t="s">
        <v>25</v>
      </c>
      <c r="E256" s="42">
        <f>1.025*0.519</f>
        <v>0.531975</v>
      </c>
      <c r="F256" s="43">
        <f>'Gia VL'!R15</f>
        <v>374170.5</v>
      </c>
      <c r="G256" s="44">
        <f t="shared" si="1"/>
        <v>199049.35174</v>
      </c>
    </row>
    <row r="257" spans="1:7" ht="15">
      <c r="A257" s="344" t="s">
        <v>0</v>
      </c>
      <c r="B257" s="11" t="s">
        <v>0</v>
      </c>
      <c r="C257" s="11" t="s">
        <v>55</v>
      </c>
      <c r="D257" s="20" t="s">
        <v>25</v>
      </c>
      <c r="E257" s="42">
        <f>1.025*0.855</f>
        <v>0.8763749999999999</v>
      </c>
      <c r="F257" s="43">
        <f>'Gia VL'!R58</f>
        <v>316487.5</v>
      </c>
      <c r="G257" s="44">
        <f t="shared" si="1"/>
        <v>277361.73281</v>
      </c>
    </row>
    <row r="258" spans="1:7" ht="15">
      <c r="A258" s="344" t="s">
        <v>0</v>
      </c>
      <c r="B258" s="11" t="s">
        <v>0</v>
      </c>
      <c r="C258" s="11" t="s">
        <v>36</v>
      </c>
      <c r="D258" s="20" t="s">
        <v>25</v>
      </c>
      <c r="E258" s="42">
        <f>1.025*0.183</f>
        <v>0.187575</v>
      </c>
      <c r="F258" s="43">
        <f>'Gia VL'!R38</f>
        <v>10000</v>
      </c>
      <c r="G258" s="44">
        <f t="shared" si="1"/>
        <v>1875.75</v>
      </c>
    </row>
    <row r="259" spans="1:7" ht="15">
      <c r="A259" s="344" t="s">
        <v>0</v>
      </c>
      <c r="B259" s="11" t="s">
        <v>0</v>
      </c>
      <c r="C259" s="11" t="s">
        <v>183</v>
      </c>
      <c r="D259" s="20" t="s">
        <v>25</v>
      </c>
      <c r="E259" s="42">
        <f>0.014</f>
        <v>0.014</v>
      </c>
      <c r="F259" s="43">
        <f>'Gia VL'!R29</f>
        <v>4116130.7189090904</v>
      </c>
      <c r="G259" s="44">
        <f t="shared" si="1"/>
        <v>57625.83006</v>
      </c>
    </row>
    <row r="260" spans="1:7" ht="15">
      <c r="A260" s="344" t="s">
        <v>0</v>
      </c>
      <c r="B260" s="11" t="s">
        <v>0</v>
      </c>
      <c r="C260" s="11" t="s">
        <v>184</v>
      </c>
      <c r="D260" s="20" t="s">
        <v>33</v>
      </c>
      <c r="E260" s="42">
        <f>3.5</f>
        <v>3.5</v>
      </c>
      <c r="F260" s="43">
        <f>ROUND('Gia VL'!R35/1000,5)</f>
        <v>16827.2694</v>
      </c>
      <c r="G260" s="44">
        <f t="shared" si="1"/>
        <v>58895.4429</v>
      </c>
    </row>
    <row r="261" spans="1:7" ht="15">
      <c r="A261" s="344" t="s">
        <v>0</v>
      </c>
      <c r="B261" s="11" t="s">
        <v>0</v>
      </c>
      <c r="C261" s="11" t="s">
        <v>295</v>
      </c>
      <c r="D261" s="20" t="s">
        <v>291</v>
      </c>
      <c r="E261" s="42">
        <f>1.5</f>
        <v>1.5</v>
      </c>
      <c r="F261" s="43"/>
      <c r="G261" s="44">
        <f>ROUND(SUM(G255:G260)*E261/100,5)</f>
        <v>16010.45171</v>
      </c>
    </row>
    <row r="262" spans="1:7" ht="15.75">
      <c r="A262" s="344" t="s">
        <v>0</v>
      </c>
      <c r="B262" s="11" t="s">
        <v>0</v>
      </c>
      <c r="C262" s="11" t="s">
        <v>294</v>
      </c>
      <c r="D262" s="20" t="s">
        <v>0</v>
      </c>
      <c r="E262" s="42"/>
      <c r="F262" s="43"/>
      <c r="G262" s="45">
        <f>ROUND(SUM(G263:G263),5)</f>
        <v>345514</v>
      </c>
    </row>
    <row r="263" spans="1:7" ht="15">
      <c r="A263" s="344" t="s">
        <v>0</v>
      </c>
      <c r="B263" s="11" t="s">
        <v>0</v>
      </c>
      <c r="C263" s="11" t="s">
        <v>37</v>
      </c>
      <c r="D263" s="20" t="s">
        <v>8</v>
      </c>
      <c r="E263" s="42">
        <f>1.37</f>
        <v>1.37</v>
      </c>
      <c r="F263" s="43">
        <f>'Gia NC,CM'!P11</f>
        <v>252200</v>
      </c>
      <c r="G263" s="44">
        <f>ROUND(E263*F263,5)</f>
        <v>345514</v>
      </c>
    </row>
    <row r="264" spans="1:7" ht="15.75">
      <c r="A264" s="344" t="s">
        <v>0</v>
      </c>
      <c r="B264" s="11" t="s">
        <v>0</v>
      </c>
      <c r="C264" s="11" t="s">
        <v>293</v>
      </c>
      <c r="D264" s="20" t="s">
        <v>0</v>
      </c>
      <c r="E264" s="42"/>
      <c r="F264" s="43"/>
      <c r="G264" s="45">
        <f>ROUND(SUM(G265:G270),5)</f>
        <v>80575.76241</v>
      </c>
    </row>
    <row r="265" spans="1:7" ht="15">
      <c r="A265" s="344" t="s">
        <v>0</v>
      </c>
      <c r="B265" s="11" t="s">
        <v>0</v>
      </c>
      <c r="C265" s="11" t="s">
        <v>38</v>
      </c>
      <c r="D265" s="20" t="s">
        <v>10</v>
      </c>
      <c r="E265" s="42">
        <f>0.095</f>
        <v>0.095</v>
      </c>
      <c r="F265" s="43">
        <f>'Gia NC,CM'!P23</f>
        <v>319531.8</v>
      </c>
      <c r="G265" s="44">
        <f>ROUND(E265*F265,5)</f>
        <v>30355.521</v>
      </c>
    </row>
    <row r="266" spans="1:7" ht="15">
      <c r="A266" s="344" t="s">
        <v>0</v>
      </c>
      <c r="B266" s="11" t="s">
        <v>0</v>
      </c>
      <c r="C266" s="11" t="s">
        <v>185</v>
      </c>
      <c r="D266" s="20" t="s">
        <v>10</v>
      </c>
      <c r="E266" s="42">
        <f>0.089</f>
        <v>0.089</v>
      </c>
      <c r="F266" s="43">
        <f>'Gia NC,CM'!P26</f>
        <v>271247.9</v>
      </c>
      <c r="G266" s="44">
        <f>ROUND(E266*F266,5)</f>
        <v>24141.0631</v>
      </c>
    </row>
    <row r="267" spans="1:7" ht="15">
      <c r="A267" s="344" t="s">
        <v>0</v>
      </c>
      <c r="B267" s="11" t="s">
        <v>0</v>
      </c>
      <c r="C267" s="11" t="s">
        <v>39</v>
      </c>
      <c r="D267" s="20" t="s">
        <v>10</v>
      </c>
      <c r="E267" s="42">
        <f>0.089</f>
        <v>0.089</v>
      </c>
      <c r="F267" s="43">
        <f>'Gia NC,CM'!P27</f>
        <v>275272.6</v>
      </c>
      <c r="G267" s="44">
        <f>ROUND(E267*F267,5)</f>
        <v>24499.2614</v>
      </c>
    </row>
    <row r="268" spans="1:7" ht="15">
      <c r="A268" s="344" t="s">
        <v>0</v>
      </c>
      <c r="B268" s="11" t="s">
        <v>0</v>
      </c>
      <c r="C268" s="11" t="s">
        <v>292</v>
      </c>
      <c r="D268" s="20" t="s">
        <v>291</v>
      </c>
      <c r="E268" s="42">
        <f>2</f>
        <v>2</v>
      </c>
      <c r="F268" s="43"/>
      <c r="G268" s="44">
        <f>ROUND(SUM(G265:G267)*E268/100,5)</f>
        <v>1579.91691</v>
      </c>
    </row>
    <row r="269" spans="1:7" ht="15">
      <c r="A269" s="344" t="s">
        <v>0</v>
      </c>
      <c r="B269" s="11" t="s">
        <v>0</v>
      </c>
      <c r="C269" s="11" t="s">
        <v>0</v>
      </c>
      <c r="D269" s="20" t="s">
        <v>0</v>
      </c>
      <c r="E269" s="42"/>
      <c r="F269" s="43"/>
      <c r="G269" s="44"/>
    </row>
    <row r="270" spans="1:7" ht="15">
      <c r="A270" s="344" t="s">
        <v>135</v>
      </c>
      <c r="B270" s="11" t="s">
        <v>187</v>
      </c>
      <c r="C270" s="11" t="s">
        <v>188</v>
      </c>
      <c r="D270" s="20" t="s">
        <v>43</v>
      </c>
      <c r="E270" s="42"/>
      <c r="F270" s="43"/>
      <c r="G270" s="44"/>
    </row>
    <row r="271" spans="1:7" ht="15.75">
      <c r="A271" s="344" t="s">
        <v>0</v>
      </c>
      <c r="B271" s="11" t="s">
        <v>0</v>
      </c>
      <c r="C271" s="11" t="s">
        <v>296</v>
      </c>
      <c r="D271" s="20" t="s">
        <v>0</v>
      </c>
      <c r="E271" s="42"/>
      <c r="F271" s="43"/>
      <c r="G271" s="45">
        <f>ROUND(SUM(G272:G273),5)</f>
        <v>0</v>
      </c>
    </row>
    <row r="272" spans="1:7" ht="15">
      <c r="A272" s="344" t="s">
        <v>0</v>
      </c>
      <c r="B272" s="11" t="s">
        <v>0</v>
      </c>
      <c r="C272" s="11" t="s">
        <v>189</v>
      </c>
      <c r="D272" s="20" t="s">
        <v>190</v>
      </c>
      <c r="E272" s="42">
        <f>1.1</f>
        <v>1.1</v>
      </c>
      <c r="F272" s="43">
        <f>'Gia VL'!R25</f>
        <v>0</v>
      </c>
      <c r="G272" s="44">
        <f>ROUND(E272*F272,5)</f>
        <v>0</v>
      </c>
    </row>
    <row r="273" spans="1:7" ht="15">
      <c r="A273" s="344" t="s">
        <v>0</v>
      </c>
      <c r="B273" s="11" t="s">
        <v>0</v>
      </c>
      <c r="C273" s="11" t="s">
        <v>295</v>
      </c>
      <c r="D273" s="20" t="s">
        <v>291</v>
      </c>
      <c r="E273" s="42">
        <f>0.2</f>
        <v>0.2</v>
      </c>
      <c r="F273" s="43"/>
      <c r="G273" s="44">
        <f>ROUND(SUM(G272:G272)*E273/100,5)</f>
        <v>0</v>
      </c>
    </row>
    <row r="274" spans="1:7" ht="15.75">
      <c r="A274" s="344" t="s">
        <v>0</v>
      </c>
      <c r="B274" s="11" t="s">
        <v>0</v>
      </c>
      <c r="C274" s="11" t="s">
        <v>294</v>
      </c>
      <c r="D274" s="20" t="s">
        <v>0</v>
      </c>
      <c r="E274" s="42"/>
      <c r="F274" s="43"/>
      <c r="G274" s="45">
        <f>ROUND(SUM(G275:G277),5)</f>
        <v>378.3</v>
      </c>
    </row>
    <row r="275" spans="1:7" ht="15">
      <c r="A275" s="344" t="s">
        <v>0</v>
      </c>
      <c r="B275" s="11" t="s">
        <v>0</v>
      </c>
      <c r="C275" s="11" t="s">
        <v>37</v>
      </c>
      <c r="D275" s="20" t="s">
        <v>8</v>
      </c>
      <c r="E275" s="42">
        <f>0.0015</f>
        <v>0.0015</v>
      </c>
      <c r="F275" s="43">
        <f>'Gia NC,CM'!P11</f>
        <v>252200</v>
      </c>
      <c r="G275" s="44">
        <f>ROUND(E275*F275,5)</f>
        <v>378.3</v>
      </c>
    </row>
    <row r="276" spans="1:7" ht="15">
      <c r="A276" s="344" t="s">
        <v>0</v>
      </c>
      <c r="B276" s="11" t="s">
        <v>0</v>
      </c>
      <c r="C276" s="11" t="s">
        <v>0</v>
      </c>
      <c r="D276" s="20" t="s">
        <v>0</v>
      </c>
      <c r="E276" s="42"/>
      <c r="F276" s="43"/>
      <c r="G276" s="44"/>
    </row>
    <row r="277" spans="1:7" ht="15">
      <c r="A277" s="344" t="s">
        <v>137</v>
      </c>
      <c r="B277" s="11" t="s">
        <v>192</v>
      </c>
      <c r="C277" s="11" t="s">
        <v>193</v>
      </c>
      <c r="D277" s="20" t="s">
        <v>5</v>
      </c>
      <c r="E277" s="42"/>
      <c r="F277" s="43"/>
      <c r="G277" s="44"/>
    </row>
    <row r="278" spans="1:7" ht="15.75">
      <c r="A278" s="344" t="s">
        <v>0</v>
      </c>
      <c r="B278" s="11" t="s">
        <v>0</v>
      </c>
      <c r="C278" s="11" t="s">
        <v>296</v>
      </c>
      <c r="D278" s="20" t="s">
        <v>0</v>
      </c>
      <c r="E278" s="42"/>
      <c r="F278" s="43"/>
      <c r="G278" s="45">
        <f>ROUND(SUM(G279:G279),5)</f>
        <v>277911.31</v>
      </c>
    </row>
    <row r="279" spans="1:7" ht="15">
      <c r="A279" s="344" t="s">
        <v>0</v>
      </c>
      <c r="B279" s="11" t="s">
        <v>0</v>
      </c>
      <c r="C279" s="11" t="s">
        <v>24</v>
      </c>
      <c r="D279" s="20" t="s">
        <v>25</v>
      </c>
      <c r="E279" s="42">
        <f>1.34</f>
        <v>1.34</v>
      </c>
      <c r="F279" s="43">
        <f>'Gia VL'!R9</f>
        <v>207396.5</v>
      </c>
      <c r="G279" s="44">
        <f>ROUND(E279*F279,5)</f>
        <v>277911.31</v>
      </c>
    </row>
    <row r="280" spans="1:7" ht="15.75">
      <c r="A280" s="344" t="s">
        <v>0</v>
      </c>
      <c r="B280" s="11" t="s">
        <v>0</v>
      </c>
      <c r="C280" s="11" t="s">
        <v>294</v>
      </c>
      <c r="D280" s="20" t="s">
        <v>0</v>
      </c>
      <c r="E280" s="42"/>
      <c r="F280" s="43"/>
      <c r="G280" s="45">
        <f>ROUND(SUM(G281:G281),5)</f>
        <v>8118.18656</v>
      </c>
    </row>
    <row r="281" spans="1:7" ht="15">
      <c r="A281" s="344" t="s">
        <v>0</v>
      </c>
      <c r="B281" s="11" t="s">
        <v>0</v>
      </c>
      <c r="C281" s="11" t="s">
        <v>70</v>
      </c>
      <c r="D281" s="20" t="s">
        <v>8</v>
      </c>
      <c r="E281" s="42">
        <f>0.0352</f>
        <v>0.0352</v>
      </c>
      <c r="F281" s="43">
        <f>'Gia NC,CM'!P9</f>
        <v>230630.3</v>
      </c>
      <c r="G281" s="44">
        <f>ROUND(E281*F281,5)</f>
        <v>8118.18656</v>
      </c>
    </row>
    <row r="282" spans="1:7" ht="15.75">
      <c r="A282" s="344" t="s">
        <v>0</v>
      </c>
      <c r="B282" s="11" t="s">
        <v>0</v>
      </c>
      <c r="C282" s="11" t="s">
        <v>293</v>
      </c>
      <c r="D282" s="20" t="s">
        <v>0</v>
      </c>
      <c r="E282" s="42"/>
      <c r="F282" s="43"/>
      <c r="G282" s="45">
        <f>ROUND(SUM(G283:G290),5)</f>
        <v>24019.61877</v>
      </c>
    </row>
    <row r="283" spans="1:7" ht="15">
      <c r="A283" s="344" t="s">
        <v>0</v>
      </c>
      <c r="B283" s="11" t="s">
        <v>0</v>
      </c>
      <c r="C283" s="11" t="s">
        <v>194</v>
      </c>
      <c r="D283" s="20" t="s">
        <v>10</v>
      </c>
      <c r="E283" s="42">
        <f>0.0021</f>
        <v>0.0021</v>
      </c>
      <c r="F283" s="43">
        <f>'Gia NC,CM'!P22</f>
        <v>3578275.3</v>
      </c>
      <c r="G283" s="44">
        <f>ROUND(E283*F283,5)</f>
        <v>7514.37813</v>
      </c>
    </row>
    <row r="284" spans="1:7" ht="15">
      <c r="A284" s="344" t="s">
        <v>0</v>
      </c>
      <c r="B284" s="11" t="s">
        <v>0</v>
      </c>
      <c r="C284" s="11" t="s">
        <v>195</v>
      </c>
      <c r="D284" s="20" t="s">
        <v>10</v>
      </c>
      <c r="E284" s="42">
        <f>0.0032</f>
        <v>0.0032</v>
      </c>
      <c r="F284" s="43">
        <f>'Gia NC,CM'!P21</f>
        <v>2761084.6</v>
      </c>
      <c r="G284" s="44">
        <f>ROUND(E284*F284,5)</f>
        <v>8835.47072</v>
      </c>
    </row>
    <row r="285" spans="1:7" ht="15">
      <c r="A285" s="344" t="s">
        <v>0</v>
      </c>
      <c r="B285" s="11" t="s">
        <v>0</v>
      </c>
      <c r="C285" s="11" t="s">
        <v>196</v>
      </c>
      <c r="D285" s="20" t="s">
        <v>10</v>
      </c>
      <c r="E285" s="42">
        <f>0.0015</f>
        <v>0.0015</v>
      </c>
      <c r="F285" s="43">
        <f>'Gia NC,CM'!P19</f>
        <v>1532014.9</v>
      </c>
      <c r="G285" s="44">
        <f>ROUND(E285*F285,5)</f>
        <v>2298.02235</v>
      </c>
    </row>
    <row r="286" spans="1:7" ht="15">
      <c r="A286" s="344" t="s">
        <v>0</v>
      </c>
      <c r="B286" s="11" t="s">
        <v>0</v>
      </c>
      <c r="C286" s="11" t="s">
        <v>197</v>
      </c>
      <c r="D286" s="20" t="s">
        <v>10</v>
      </c>
      <c r="E286" s="42">
        <f>0.0026</f>
        <v>0.0026</v>
      </c>
      <c r="F286" s="43">
        <f>'Gia NC,CM'!P20</f>
        <v>1115882</v>
      </c>
      <c r="G286" s="44">
        <f>ROUND(E286*F286,5)</f>
        <v>2901.2932</v>
      </c>
    </row>
    <row r="287" spans="1:7" ht="15">
      <c r="A287" s="344" t="s">
        <v>0</v>
      </c>
      <c r="B287" s="11" t="s">
        <v>0</v>
      </c>
      <c r="C287" s="11" t="s">
        <v>198</v>
      </c>
      <c r="D287" s="20" t="s">
        <v>10</v>
      </c>
      <c r="E287" s="42">
        <f>0.0021</f>
        <v>0.0021</v>
      </c>
      <c r="F287" s="43">
        <f>'Gia NC,CM'!P33</f>
        <v>1119501.8</v>
      </c>
      <c r="G287" s="44">
        <f>ROUND(E287*F287,5)</f>
        <v>2350.95378</v>
      </c>
    </row>
    <row r="288" spans="1:7" ht="15">
      <c r="A288" s="344" t="s">
        <v>0</v>
      </c>
      <c r="B288" s="11" t="s">
        <v>0</v>
      </c>
      <c r="C288" s="11" t="s">
        <v>292</v>
      </c>
      <c r="D288" s="20" t="s">
        <v>291</v>
      </c>
      <c r="E288" s="42">
        <f>0.5</f>
        <v>0.5</v>
      </c>
      <c r="F288" s="43"/>
      <c r="G288" s="44">
        <f>ROUND(SUM(G283:G287)*E288/100,5)</f>
        <v>119.50059</v>
      </c>
    </row>
    <row r="289" spans="1:7" ht="15">
      <c r="A289" s="344" t="s">
        <v>0</v>
      </c>
      <c r="B289" s="11" t="s">
        <v>0</v>
      </c>
      <c r="C289" s="11" t="s">
        <v>0</v>
      </c>
      <c r="D289" s="20" t="s">
        <v>0</v>
      </c>
      <c r="E289" s="42"/>
      <c r="F289" s="43"/>
      <c r="G289" s="44"/>
    </row>
    <row r="290" spans="1:7" ht="15">
      <c r="A290" s="344" t="s">
        <v>142</v>
      </c>
      <c r="B290" s="11" t="s">
        <v>200</v>
      </c>
      <c r="C290" s="11" t="s">
        <v>201</v>
      </c>
      <c r="D290" s="20" t="s">
        <v>43</v>
      </c>
      <c r="E290" s="42"/>
      <c r="F290" s="43"/>
      <c r="G290" s="44"/>
    </row>
    <row r="291" spans="1:7" ht="15.75">
      <c r="A291" s="344" t="s">
        <v>0</v>
      </c>
      <c r="B291" s="11" t="s">
        <v>0</v>
      </c>
      <c r="C291" s="11" t="s">
        <v>296</v>
      </c>
      <c r="D291" s="20" t="s">
        <v>0</v>
      </c>
      <c r="E291" s="42"/>
      <c r="F291" s="43"/>
      <c r="G291" s="45">
        <f>ROUND(SUM(G292:G294),5)</f>
        <v>6864.91302</v>
      </c>
    </row>
    <row r="292" spans="1:7" ht="15">
      <c r="A292" s="344" t="s">
        <v>0</v>
      </c>
      <c r="B292" s="11" t="s">
        <v>0</v>
      </c>
      <c r="C292" s="11" t="s">
        <v>202</v>
      </c>
      <c r="D292" s="20" t="s">
        <v>33</v>
      </c>
      <c r="E292" s="42">
        <f>0.315</f>
        <v>0.315</v>
      </c>
      <c r="F292" s="43">
        <f>ROUND('Gia VL'!R45/1000,5)</f>
        <v>19752.42033</v>
      </c>
      <c r="G292" s="44">
        <f>ROUND(E292*F292,5)</f>
        <v>6222.0124</v>
      </c>
    </row>
    <row r="293" spans="1:7" ht="15">
      <c r="A293" s="344" t="s">
        <v>0</v>
      </c>
      <c r="B293" s="11" t="s">
        <v>0</v>
      </c>
      <c r="C293" s="11" t="s">
        <v>47</v>
      </c>
      <c r="D293" s="20" t="s">
        <v>33</v>
      </c>
      <c r="E293" s="42">
        <f>0.0158</f>
        <v>0.0158</v>
      </c>
      <c r="F293" s="43">
        <f>ROUND('Gia VL'!R41/1000,5)</f>
        <v>20000</v>
      </c>
      <c r="G293" s="44">
        <f>ROUND(E293*F293,5)</f>
        <v>316</v>
      </c>
    </row>
    <row r="294" spans="1:7" ht="15">
      <c r="A294" s="344" t="s">
        <v>0</v>
      </c>
      <c r="B294" s="11" t="s">
        <v>0</v>
      </c>
      <c r="C294" s="11" t="s">
        <v>295</v>
      </c>
      <c r="D294" s="20" t="s">
        <v>291</v>
      </c>
      <c r="E294" s="42">
        <f>5</f>
        <v>5</v>
      </c>
      <c r="F294" s="43"/>
      <c r="G294" s="44">
        <f>ROUND(SUM(G292:G293)*E294/100,5)</f>
        <v>326.90062</v>
      </c>
    </row>
    <row r="295" spans="1:7" ht="15.75">
      <c r="A295" s="344" t="s">
        <v>0</v>
      </c>
      <c r="B295" s="11" t="s">
        <v>0</v>
      </c>
      <c r="C295" s="11" t="s">
        <v>294</v>
      </c>
      <c r="D295" s="20" t="s">
        <v>0</v>
      </c>
      <c r="E295" s="42"/>
      <c r="F295" s="43"/>
      <c r="G295" s="45">
        <f>ROUND(SUM(G296:G296),5)</f>
        <v>31483.5155</v>
      </c>
    </row>
    <row r="296" spans="1:7" ht="15">
      <c r="A296" s="344" t="s">
        <v>0</v>
      </c>
      <c r="B296" s="11" t="s">
        <v>0</v>
      </c>
      <c r="C296" s="11" t="s">
        <v>27</v>
      </c>
      <c r="D296" s="20" t="s">
        <v>8</v>
      </c>
      <c r="E296" s="42">
        <f>0.115</f>
        <v>0.115</v>
      </c>
      <c r="F296" s="43">
        <f>'Gia NC,CM'!P12</f>
        <v>273769.7</v>
      </c>
      <c r="G296" s="44">
        <f>ROUND(E296*F296,5)</f>
        <v>31483.5155</v>
      </c>
    </row>
    <row r="297" spans="1:7" ht="15.75">
      <c r="A297" s="344" t="s">
        <v>0</v>
      </c>
      <c r="B297" s="11" t="s">
        <v>0</v>
      </c>
      <c r="C297" s="11" t="s">
        <v>293</v>
      </c>
      <c r="D297" s="20" t="s">
        <v>0</v>
      </c>
      <c r="E297" s="42"/>
      <c r="F297" s="43"/>
      <c r="G297" s="45">
        <f>ROUND(SUM(G298:G302),5)</f>
        <v>1766.03316</v>
      </c>
    </row>
    <row r="298" spans="1:7" ht="15">
      <c r="A298" s="344" t="s">
        <v>0</v>
      </c>
      <c r="B298" s="11" t="s">
        <v>0</v>
      </c>
      <c r="C298" s="11" t="s">
        <v>48</v>
      </c>
      <c r="D298" s="20" t="s">
        <v>10</v>
      </c>
      <c r="E298" s="42">
        <f>0.0042</f>
        <v>0.0042</v>
      </c>
      <c r="F298" s="43">
        <f>'Gia NC,CM'!P18</f>
        <v>412239.3</v>
      </c>
      <c r="G298" s="44">
        <f>ROUND(E298*F298,5)</f>
        <v>1731.40506</v>
      </c>
    </row>
    <row r="299" spans="1:7" ht="15">
      <c r="A299" s="344" t="s">
        <v>0</v>
      </c>
      <c r="B299" s="11" t="s">
        <v>0</v>
      </c>
      <c r="C299" s="11" t="s">
        <v>292</v>
      </c>
      <c r="D299" s="20" t="s">
        <v>291</v>
      </c>
      <c r="E299" s="42">
        <f>2</f>
        <v>2</v>
      </c>
      <c r="F299" s="43"/>
      <c r="G299" s="44">
        <f>ROUND(SUM(G298:G298)*E299/100,5)</f>
        <v>34.6281</v>
      </c>
    </row>
    <row r="300" spans="1:7" ht="15">
      <c r="A300" s="344" t="s">
        <v>0</v>
      </c>
      <c r="B300" s="11" t="s">
        <v>0</v>
      </c>
      <c r="C300" s="11" t="s">
        <v>0</v>
      </c>
      <c r="D300" s="20" t="s">
        <v>0</v>
      </c>
      <c r="E300" s="42"/>
      <c r="F300" s="43"/>
      <c r="G300" s="44"/>
    </row>
    <row r="301" spans="1:7" ht="15">
      <c r="A301" s="344" t="s">
        <v>148</v>
      </c>
      <c r="B301" s="11" t="s">
        <v>204</v>
      </c>
      <c r="C301" s="11" t="s">
        <v>205</v>
      </c>
      <c r="D301" s="20" t="s">
        <v>43</v>
      </c>
      <c r="E301" s="42"/>
      <c r="F301" s="43"/>
      <c r="G301" s="44"/>
    </row>
    <row r="302" spans="1:7" ht="15">
      <c r="A302" s="344" t="s">
        <v>0</v>
      </c>
      <c r="B302" s="11" t="s">
        <v>0</v>
      </c>
      <c r="C302" s="11" t="s">
        <v>206</v>
      </c>
      <c r="D302" s="20" t="s">
        <v>0</v>
      </c>
      <c r="E302" s="42"/>
      <c r="F302" s="43"/>
      <c r="G302" s="44"/>
    </row>
    <row r="303" spans="1:7" ht="15.75">
      <c r="A303" s="344" t="s">
        <v>0</v>
      </c>
      <c r="B303" s="11" t="s">
        <v>0</v>
      </c>
      <c r="C303" s="11" t="s">
        <v>296</v>
      </c>
      <c r="D303" s="20" t="s">
        <v>0</v>
      </c>
      <c r="E303" s="42"/>
      <c r="F303" s="43"/>
      <c r="G303" s="45">
        <f>ROUND(SUM(G304:G308),5)</f>
        <v>111723.96544</v>
      </c>
    </row>
    <row r="304" spans="1:7" ht="15">
      <c r="A304" s="344" t="s">
        <v>0</v>
      </c>
      <c r="B304" s="11" t="s">
        <v>0</v>
      </c>
      <c r="C304" s="11" t="s">
        <v>207</v>
      </c>
      <c r="D304" s="20" t="s">
        <v>190</v>
      </c>
      <c r="E304" s="42">
        <f>1.01</f>
        <v>1.01</v>
      </c>
      <c r="F304" s="43">
        <f>'Gia VL'!R26</f>
        <v>86473.96666666667</v>
      </c>
      <c r="G304" s="44">
        <f>ROUND(E304*F304,5)</f>
        <v>87338.70633</v>
      </c>
    </row>
    <row r="305" spans="1:7" ht="15">
      <c r="A305" s="344" t="s">
        <v>0</v>
      </c>
      <c r="B305" s="11" t="s">
        <v>0</v>
      </c>
      <c r="C305" s="11" t="s">
        <v>208</v>
      </c>
      <c r="D305" s="20" t="s">
        <v>33</v>
      </c>
      <c r="E305" s="42">
        <f>0.026*264</f>
        <v>6.864</v>
      </c>
      <c r="F305" s="43">
        <f>ROUND('Gia VL'!R54/1000,5)</f>
        <v>1422.5688</v>
      </c>
      <c r="G305" s="44">
        <f>ROUND(E305*F305,5)</f>
        <v>9764.51224</v>
      </c>
    </row>
    <row r="306" spans="1:7" ht="15">
      <c r="A306" s="344" t="s">
        <v>0</v>
      </c>
      <c r="B306" s="11" t="s">
        <v>0</v>
      </c>
      <c r="C306" s="11" t="s">
        <v>209</v>
      </c>
      <c r="D306" s="20" t="s">
        <v>25</v>
      </c>
      <c r="E306" s="42">
        <f>0.026*1.19</f>
        <v>0.03094</v>
      </c>
      <c r="F306" s="43">
        <f>'Gia VL'!R12</f>
        <v>374170.5</v>
      </c>
      <c r="G306" s="44">
        <f>ROUND(E306*F306,5)</f>
        <v>11576.83527</v>
      </c>
    </row>
    <row r="307" spans="1:7" ht="15">
      <c r="A307" s="344" t="s">
        <v>0</v>
      </c>
      <c r="B307" s="11" t="s">
        <v>0</v>
      </c>
      <c r="C307" s="11" t="s">
        <v>36</v>
      </c>
      <c r="D307" s="20" t="s">
        <v>25</v>
      </c>
      <c r="E307" s="42">
        <f>0.026*0.275</f>
        <v>0.00715</v>
      </c>
      <c r="F307" s="43">
        <f>'Gia VL'!R38</f>
        <v>10000</v>
      </c>
      <c r="G307" s="44">
        <f>ROUND(E307*F307,5)</f>
        <v>71.5</v>
      </c>
    </row>
    <row r="308" spans="1:7" ht="15">
      <c r="A308" s="344" t="s">
        <v>0</v>
      </c>
      <c r="B308" s="11" t="s">
        <v>0</v>
      </c>
      <c r="C308" s="11" t="s">
        <v>210</v>
      </c>
      <c r="D308" s="20" t="s">
        <v>33</v>
      </c>
      <c r="E308" s="42">
        <f>2</f>
        <v>2</v>
      </c>
      <c r="F308" s="43">
        <f>ROUND('Gia VL'!R51/1000,5)</f>
        <v>1486.2058</v>
      </c>
      <c r="G308" s="44">
        <f>ROUND(E308*F308,5)</f>
        <v>2972.4116</v>
      </c>
    </row>
    <row r="309" spans="1:7" ht="15.75">
      <c r="A309" s="344" t="s">
        <v>0</v>
      </c>
      <c r="B309" s="11" t="s">
        <v>0</v>
      </c>
      <c r="C309" s="11" t="s">
        <v>294</v>
      </c>
      <c r="D309" s="20" t="s">
        <v>0</v>
      </c>
      <c r="E309" s="42"/>
      <c r="F309" s="43"/>
      <c r="G309" s="45">
        <f>ROUND(SUM(G310:G313),5)</f>
        <v>39696.6065</v>
      </c>
    </row>
    <row r="310" spans="1:7" ht="15">
      <c r="A310" s="344" t="s">
        <v>0</v>
      </c>
      <c r="B310" s="11" t="s">
        <v>0</v>
      </c>
      <c r="C310" s="11" t="s">
        <v>27</v>
      </c>
      <c r="D310" s="20" t="s">
        <v>8</v>
      </c>
      <c r="E310" s="42">
        <f>0.145</f>
        <v>0.145</v>
      </c>
      <c r="F310" s="43">
        <f>'Gia NC,CM'!P12</f>
        <v>273769.7</v>
      </c>
      <c r="G310" s="44">
        <f>ROUND(E310*F310,5)</f>
        <v>39696.6065</v>
      </c>
    </row>
    <row r="311" spans="1:7" ht="15">
      <c r="A311" s="344" t="s">
        <v>0</v>
      </c>
      <c r="B311" s="11" t="s">
        <v>0</v>
      </c>
      <c r="C311" s="11" t="s">
        <v>0</v>
      </c>
      <c r="D311" s="20" t="s">
        <v>0</v>
      </c>
      <c r="E311" s="42"/>
      <c r="F311" s="43"/>
      <c r="G311" s="44"/>
    </row>
    <row r="312" spans="1:7" ht="15">
      <c r="A312" s="344" t="s">
        <v>153</v>
      </c>
      <c r="B312" s="11" t="s">
        <v>212</v>
      </c>
      <c r="C312" s="11" t="s">
        <v>213</v>
      </c>
      <c r="D312" s="20" t="s">
        <v>5</v>
      </c>
      <c r="E312" s="42"/>
      <c r="F312" s="43"/>
      <c r="G312" s="44"/>
    </row>
    <row r="313" spans="1:7" ht="15">
      <c r="A313" s="344" t="s">
        <v>0</v>
      </c>
      <c r="B313" s="11" t="s">
        <v>0</v>
      </c>
      <c r="C313" s="11" t="s">
        <v>214</v>
      </c>
      <c r="D313" s="20" t="s">
        <v>0</v>
      </c>
      <c r="E313" s="42"/>
      <c r="F313" s="43"/>
      <c r="G313" s="44"/>
    </row>
    <row r="314" spans="1:7" ht="15.75">
      <c r="A314" s="344" t="s">
        <v>0</v>
      </c>
      <c r="B314" s="11" t="s">
        <v>0</v>
      </c>
      <c r="C314" s="11" t="s">
        <v>296</v>
      </c>
      <c r="D314" s="20" t="s">
        <v>0</v>
      </c>
      <c r="E314" s="42"/>
      <c r="F314" s="43"/>
      <c r="G314" s="45">
        <f>ROUND(SUM(G315:G319),5)</f>
        <v>822726.37289</v>
      </c>
    </row>
    <row r="315" spans="1:7" ht="15">
      <c r="A315" s="344" t="s">
        <v>0</v>
      </c>
      <c r="B315" s="11" t="s">
        <v>0</v>
      </c>
      <c r="C315" s="11" t="s">
        <v>32</v>
      </c>
      <c r="D315" s="20" t="s">
        <v>33</v>
      </c>
      <c r="E315" s="42">
        <f>1.025*205</f>
        <v>210.12499999999997</v>
      </c>
      <c r="F315" s="43">
        <f>ROUND('Gia VL'!R56/1000,5)</f>
        <v>1531.6598</v>
      </c>
      <c r="G315" s="44">
        <f>ROUND(E315*F315,5)</f>
        <v>321840.01548</v>
      </c>
    </row>
    <row r="316" spans="1:7" ht="15">
      <c r="A316" s="344" t="s">
        <v>0</v>
      </c>
      <c r="B316" s="11" t="s">
        <v>0</v>
      </c>
      <c r="C316" s="11" t="s">
        <v>34</v>
      </c>
      <c r="D316" s="20" t="s">
        <v>25</v>
      </c>
      <c r="E316" s="42">
        <f>1.025*0.549</f>
        <v>0.562725</v>
      </c>
      <c r="F316" s="43">
        <f>'Gia VL'!R15</f>
        <v>374170.5</v>
      </c>
      <c r="G316" s="44">
        <f>ROUND(E316*F316,5)</f>
        <v>210555.09461</v>
      </c>
    </row>
    <row r="317" spans="1:7" ht="15">
      <c r="A317" s="344" t="s">
        <v>0</v>
      </c>
      <c r="B317" s="11" t="s">
        <v>0</v>
      </c>
      <c r="C317" s="11" t="s">
        <v>35</v>
      </c>
      <c r="D317" s="20" t="s">
        <v>25</v>
      </c>
      <c r="E317" s="42">
        <f>1.025*0.89</f>
        <v>0.9122499999999999</v>
      </c>
      <c r="F317" s="43">
        <f>'Gia VL'!R61</f>
        <v>307396.5</v>
      </c>
      <c r="G317" s="44">
        <f>ROUND(E317*F317,5)</f>
        <v>280422.45713</v>
      </c>
    </row>
    <row r="318" spans="1:7" ht="15">
      <c r="A318" s="344" t="s">
        <v>0</v>
      </c>
      <c r="B318" s="11" t="s">
        <v>0</v>
      </c>
      <c r="C318" s="11" t="s">
        <v>36</v>
      </c>
      <c r="D318" s="20" t="s">
        <v>25</v>
      </c>
      <c r="E318" s="42">
        <f>1.025*0.172</f>
        <v>0.17629999999999996</v>
      </c>
      <c r="F318" s="43">
        <f>'Gia VL'!R38</f>
        <v>10000</v>
      </c>
      <c r="G318" s="44">
        <f>ROUND(E318*F318,5)</f>
        <v>1763</v>
      </c>
    </row>
    <row r="319" spans="1:7" ht="15">
      <c r="A319" s="344" t="s">
        <v>0</v>
      </c>
      <c r="B319" s="11" t="s">
        <v>0</v>
      </c>
      <c r="C319" s="11" t="s">
        <v>295</v>
      </c>
      <c r="D319" s="20" t="s">
        <v>291</v>
      </c>
      <c r="E319" s="42">
        <f>1</f>
        <v>1</v>
      </c>
      <c r="F319" s="43"/>
      <c r="G319" s="44">
        <f>ROUND(SUM(G315:G318)*E319/100,5)</f>
        <v>8145.80567</v>
      </c>
    </row>
    <row r="320" spans="1:7" ht="15.75">
      <c r="A320" s="344" t="s">
        <v>0</v>
      </c>
      <c r="B320" s="11" t="s">
        <v>0</v>
      </c>
      <c r="C320" s="11" t="s">
        <v>294</v>
      </c>
      <c r="D320" s="20" t="s">
        <v>0</v>
      </c>
      <c r="E320" s="42"/>
      <c r="F320" s="43"/>
      <c r="G320" s="45">
        <f>ROUND(SUM(G321:G321),5)</f>
        <v>283675.269</v>
      </c>
    </row>
    <row r="321" spans="1:7" ht="15">
      <c r="A321" s="344" t="s">
        <v>0</v>
      </c>
      <c r="B321" s="11" t="s">
        <v>0</v>
      </c>
      <c r="C321" s="11" t="s">
        <v>70</v>
      </c>
      <c r="D321" s="20" t="s">
        <v>8</v>
      </c>
      <c r="E321" s="42">
        <f>1.23</f>
        <v>1.23</v>
      </c>
      <c r="F321" s="43">
        <f>'Gia NC,CM'!P9</f>
        <v>230630.3</v>
      </c>
      <c r="G321" s="44">
        <f>ROUND(E321*F321,5)</f>
        <v>283675.269</v>
      </c>
    </row>
    <row r="322" spans="1:7" ht="15.75">
      <c r="A322" s="344" t="s">
        <v>0</v>
      </c>
      <c r="B322" s="11" t="s">
        <v>0</v>
      </c>
      <c r="C322" s="11" t="s">
        <v>293</v>
      </c>
      <c r="D322" s="20" t="s">
        <v>0</v>
      </c>
      <c r="E322" s="42"/>
      <c r="F322" s="43"/>
      <c r="G322" s="45">
        <f>ROUND(SUM(G323:G326),5)</f>
        <v>54854.7824</v>
      </c>
    </row>
    <row r="323" spans="1:7" ht="15">
      <c r="A323" s="344" t="s">
        <v>0</v>
      </c>
      <c r="B323" s="11" t="s">
        <v>0</v>
      </c>
      <c r="C323" s="11" t="s">
        <v>38</v>
      </c>
      <c r="D323" s="20" t="s">
        <v>10</v>
      </c>
      <c r="E323" s="42">
        <f>0.095</f>
        <v>0.095</v>
      </c>
      <c r="F323" s="43">
        <f>'Gia NC,CM'!P23</f>
        <v>319531.8</v>
      </c>
      <c r="G323" s="44">
        <f>ROUND(E323*F323,5)</f>
        <v>30355.521</v>
      </c>
    </row>
    <row r="324" spans="1:7" ht="15">
      <c r="A324" s="344" t="s">
        <v>0</v>
      </c>
      <c r="B324" s="11" t="s">
        <v>0</v>
      </c>
      <c r="C324" s="11" t="s">
        <v>39</v>
      </c>
      <c r="D324" s="20" t="s">
        <v>10</v>
      </c>
      <c r="E324" s="42">
        <f>0.089</f>
        <v>0.089</v>
      </c>
      <c r="F324" s="43">
        <f>'Gia NC,CM'!P27</f>
        <v>275272.6</v>
      </c>
      <c r="G324" s="44">
        <f>ROUND(E324*F324,5)</f>
        <v>24499.2614</v>
      </c>
    </row>
    <row r="325" spans="1:7" ht="15">
      <c r="A325" s="344" t="s">
        <v>0</v>
      </c>
      <c r="B325" s="11" t="s">
        <v>0</v>
      </c>
      <c r="C325" s="11" t="s">
        <v>0</v>
      </c>
      <c r="D325" s="20" t="s">
        <v>0</v>
      </c>
      <c r="E325" s="42"/>
      <c r="F325" s="43"/>
      <c r="G325" s="44"/>
    </row>
    <row r="326" spans="1:7" ht="15">
      <c r="A326" s="344" t="s">
        <v>161</v>
      </c>
      <c r="B326" s="11" t="s">
        <v>217</v>
      </c>
      <c r="C326" s="11" t="s">
        <v>218</v>
      </c>
      <c r="D326" s="20" t="s">
        <v>43</v>
      </c>
      <c r="E326" s="42"/>
      <c r="F326" s="43"/>
      <c r="G326" s="44"/>
    </row>
    <row r="327" spans="1:7" ht="15.75">
      <c r="A327" s="344" t="s">
        <v>0</v>
      </c>
      <c r="B327" s="11" t="s">
        <v>0</v>
      </c>
      <c r="C327" s="11" t="s">
        <v>296</v>
      </c>
      <c r="D327" s="20" t="s">
        <v>0</v>
      </c>
      <c r="E327" s="42"/>
      <c r="F327" s="43"/>
      <c r="G327" s="45">
        <f>ROUND(SUM(G328:G331),5)</f>
        <v>18070.97666</v>
      </c>
    </row>
    <row r="328" spans="1:7" ht="15">
      <c r="A328" s="344" t="s">
        <v>0</v>
      </c>
      <c r="B328" s="11" t="s">
        <v>0</v>
      </c>
      <c r="C328" s="11" t="s">
        <v>44</v>
      </c>
      <c r="D328" s="20" t="s">
        <v>33</v>
      </c>
      <c r="E328" s="42">
        <f>0.5181</f>
        <v>0.5181</v>
      </c>
      <c r="F328" s="43">
        <f>ROUND('Gia VL'!R49/1000,5)</f>
        <v>19752.42033</v>
      </c>
      <c r="G328" s="44">
        <f>ROUND(E328*F328,5)</f>
        <v>10233.72897</v>
      </c>
    </row>
    <row r="329" spans="1:7" ht="15">
      <c r="A329" s="344" t="s">
        <v>0</v>
      </c>
      <c r="B329" s="11" t="s">
        <v>0</v>
      </c>
      <c r="C329" s="11" t="s">
        <v>45</v>
      </c>
      <c r="D329" s="20" t="s">
        <v>33</v>
      </c>
      <c r="E329" s="42">
        <f>0.3202</f>
        <v>0.3202</v>
      </c>
      <c r="F329" s="43">
        <f>ROUND('Gia VL'!R42/1000,5)</f>
        <v>19752.42033</v>
      </c>
      <c r="G329" s="44">
        <f>ROUND(E329*F329,5)</f>
        <v>6324.72499</v>
      </c>
    </row>
    <row r="330" spans="1:7" ht="15">
      <c r="A330" s="344" t="s">
        <v>0</v>
      </c>
      <c r="B330" s="11" t="s">
        <v>0</v>
      </c>
      <c r="C330" s="11" t="s">
        <v>47</v>
      </c>
      <c r="D330" s="20" t="s">
        <v>33</v>
      </c>
      <c r="E330" s="42">
        <f>0.0326</f>
        <v>0.0326</v>
      </c>
      <c r="F330" s="43">
        <f>ROUND('Gia VL'!R41/1000,5)</f>
        <v>20000</v>
      </c>
      <c r="G330" s="44">
        <f>ROUND(E330*F330,5)</f>
        <v>652</v>
      </c>
    </row>
    <row r="331" spans="1:7" ht="15">
      <c r="A331" s="344" t="s">
        <v>0</v>
      </c>
      <c r="B331" s="11" t="s">
        <v>0</v>
      </c>
      <c r="C331" s="11" t="s">
        <v>295</v>
      </c>
      <c r="D331" s="20" t="s">
        <v>291</v>
      </c>
      <c r="E331" s="42">
        <f>5</f>
        <v>5</v>
      </c>
      <c r="F331" s="43"/>
      <c r="G331" s="44">
        <f>ROUND(SUM(G328:G330)*E331/100,5)</f>
        <v>860.5227</v>
      </c>
    </row>
    <row r="332" spans="1:7" ht="15.75">
      <c r="A332" s="344" t="s">
        <v>0</v>
      </c>
      <c r="B332" s="11" t="s">
        <v>0</v>
      </c>
      <c r="C332" s="11" t="s">
        <v>294</v>
      </c>
      <c r="D332" s="20" t="s">
        <v>0</v>
      </c>
      <c r="E332" s="42"/>
      <c r="F332" s="43"/>
      <c r="G332" s="45">
        <f>ROUND(SUM(G333:G333),5)</f>
        <v>33536.78825</v>
      </c>
    </row>
    <row r="333" spans="1:7" ht="15">
      <c r="A333" s="344" t="s">
        <v>0</v>
      </c>
      <c r="B333" s="11" t="s">
        <v>0</v>
      </c>
      <c r="C333" s="11" t="s">
        <v>27</v>
      </c>
      <c r="D333" s="20" t="s">
        <v>8</v>
      </c>
      <c r="E333" s="42">
        <f>0.1225</f>
        <v>0.1225</v>
      </c>
      <c r="F333" s="43">
        <f>'Gia NC,CM'!P12</f>
        <v>273769.7</v>
      </c>
      <c r="G333" s="44">
        <f>ROUND(E333*F333,5)</f>
        <v>33536.78825</v>
      </c>
    </row>
    <row r="334" spans="1:7" ht="15.75">
      <c r="A334" s="344" t="s">
        <v>0</v>
      </c>
      <c r="B334" s="11" t="s">
        <v>0</v>
      </c>
      <c r="C334" s="11" t="s">
        <v>293</v>
      </c>
      <c r="D334" s="20" t="s">
        <v>0</v>
      </c>
      <c r="E334" s="42"/>
      <c r="F334" s="43"/>
      <c r="G334" s="45">
        <f>ROUND(SUM(G335:G337),5)</f>
        <v>3447.96951</v>
      </c>
    </row>
    <row r="335" spans="1:7" ht="15">
      <c r="A335" s="344" t="s">
        <v>0</v>
      </c>
      <c r="B335" s="11" t="s">
        <v>0</v>
      </c>
      <c r="C335" s="11" t="s">
        <v>48</v>
      </c>
      <c r="D335" s="20" t="s">
        <v>10</v>
      </c>
      <c r="E335" s="42">
        <f>0.0082</f>
        <v>0.0082</v>
      </c>
      <c r="F335" s="43">
        <f>'Gia NC,CM'!P18</f>
        <v>412239.3</v>
      </c>
      <c r="G335" s="44">
        <f>ROUND(E335*F335,5)</f>
        <v>3380.36226</v>
      </c>
    </row>
    <row r="336" spans="1:7" ht="15">
      <c r="A336" s="344" t="s">
        <v>0</v>
      </c>
      <c r="B336" s="11" t="s">
        <v>0</v>
      </c>
      <c r="C336" s="11" t="s">
        <v>292</v>
      </c>
      <c r="D336" s="20" t="s">
        <v>291</v>
      </c>
      <c r="E336" s="42">
        <f>2</f>
        <v>2</v>
      </c>
      <c r="F336" s="43"/>
      <c r="G336" s="44">
        <f>ROUND(SUM(G335:G335)*E336/100,5)</f>
        <v>67.60725</v>
      </c>
    </row>
    <row r="337" spans="1:7" ht="15.75" thickBot="1">
      <c r="A337" s="346" t="s">
        <v>0</v>
      </c>
      <c r="B337" s="13" t="s">
        <v>0</v>
      </c>
      <c r="C337" s="13" t="s">
        <v>0</v>
      </c>
      <c r="D337" s="21" t="s">
        <v>0</v>
      </c>
      <c r="E337" s="46"/>
      <c r="F337" s="47"/>
      <c r="G337" s="48"/>
    </row>
    <row r="342" spans="1:8" s="138" customFormat="1" ht="15" hidden="1">
      <c r="A342" s="160" t="s">
        <v>469</v>
      </c>
      <c r="B342" s="133" t="s">
        <v>470</v>
      </c>
      <c r="C342" s="133" t="s">
        <v>471</v>
      </c>
      <c r="D342" s="193" t="s">
        <v>472</v>
      </c>
      <c r="E342" s="134"/>
      <c r="F342" s="135"/>
      <c r="G342" s="136"/>
      <c r="H342" s="137"/>
    </row>
    <row r="343" spans="1:8" s="138" customFormat="1" ht="15" hidden="1">
      <c r="A343" s="160" t="s">
        <v>0</v>
      </c>
      <c r="B343" s="133" t="s">
        <v>0</v>
      </c>
      <c r="C343" s="133" t="s">
        <v>473</v>
      </c>
      <c r="D343" s="193" t="s">
        <v>0</v>
      </c>
      <c r="E343" s="134"/>
      <c r="F343" s="135"/>
      <c r="G343" s="136"/>
      <c r="H343" s="137"/>
    </row>
    <row r="344" spans="1:8" s="138" customFormat="1" ht="15.75" hidden="1">
      <c r="A344" s="160" t="s">
        <v>0</v>
      </c>
      <c r="B344" s="133" t="s">
        <v>0</v>
      </c>
      <c r="C344" s="133" t="s">
        <v>293</v>
      </c>
      <c r="D344" s="193" t="s">
        <v>0</v>
      </c>
      <c r="E344" s="134"/>
      <c r="F344" s="135"/>
      <c r="G344" s="139">
        <f>ROUND(SUM(G345),5)</f>
        <v>137323.9332</v>
      </c>
      <c r="H344" s="140"/>
    </row>
    <row r="345" spans="1:8" s="138" customFormat="1" ht="15" hidden="1">
      <c r="A345" s="160" t="s">
        <v>0</v>
      </c>
      <c r="B345" s="133" t="s">
        <v>0</v>
      </c>
      <c r="C345" s="133" t="s">
        <v>474</v>
      </c>
      <c r="D345" s="193" t="s">
        <v>10</v>
      </c>
      <c r="E345" s="134">
        <f>0.108</f>
        <v>0.108</v>
      </c>
      <c r="F345" s="135">
        <f>'Gia NC,CM'!P32</f>
        <v>1271517.9</v>
      </c>
      <c r="G345" s="136">
        <f>ROUND(E345*F345,5)</f>
        <v>137323.9332</v>
      </c>
      <c r="H345" s="137"/>
    </row>
    <row r="346" spans="1:8" s="138" customFormat="1" ht="15" hidden="1">
      <c r="A346" s="160" t="s">
        <v>0</v>
      </c>
      <c r="B346" s="133" t="s">
        <v>0</v>
      </c>
      <c r="C346" s="133" t="s">
        <v>0</v>
      </c>
      <c r="D346" s="193" t="s">
        <v>0</v>
      </c>
      <c r="E346" s="134"/>
      <c r="F346" s="135"/>
      <c r="G346" s="136"/>
      <c r="H346" s="137"/>
    </row>
    <row r="347" spans="1:8" s="138" customFormat="1" ht="15" hidden="1">
      <c r="A347" s="160" t="s">
        <v>475</v>
      </c>
      <c r="B347" s="133" t="s">
        <v>476</v>
      </c>
      <c r="C347" s="133" t="s">
        <v>471</v>
      </c>
      <c r="D347" s="193" t="s">
        <v>472</v>
      </c>
      <c r="E347" s="134"/>
      <c r="F347" s="135"/>
      <c r="G347" s="136"/>
      <c r="H347" s="137"/>
    </row>
    <row r="348" spans="1:8" s="138" customFormat="1" ht="15" hidden="1">
      <c r="A348" s="160" t="s">
        <v>0</v>
      </c>
      <c r="B348" s="133" t="s">
        <v>0</v>
      </c>
      <c r="C348" s="133" t="s">
        <v>477</v>
      </c>
      <c r="D348" s="193" t="s">
        <v>0</v>
      </c>
      <c r="E348" s="134"/>
      <c r="F348" s="135"/>
      <c r="G348" s="136"/>
      <c r="H348" s="137"/>
    </row>
    <row r="349" spans="1:8" s="138" customFormat="1" ht="15.75" hidden="1">
      <c r="A349" s="160" t="s">
        <v>0</v>
      </c>
      <c r="B349" s="133" t="s">
        <v>0</v>
      </c>
      <c r="C349" s="133" t="s">
        <v>293</v>
      </c>
      <c r="D349" s="193" t="s">
        <v>0</v>
      </c>
      <c r="E349" s="134"/>
      <c r="F349" s="135"/>
      <c r="G349" s="139">
        <f>ROUND(SUM(G350),5)</f>
        <v>99178.3962</v>
      </c>
      <c r="H349" s="140"/>
    </row>
    <row r="350" spans="1:8" s="138" customFormat="1" ht="15" hidden="1">
      <c r="A350" s="160" t="s">
        <v>0</v>
      </c>
      <c r="B350" s="133" t="s">
        <v>0</v>
      </c>
      <c r="C350" s="133" t="s">
        <v>474</v>
      </c>
      <c r="D350" s="193" t="s">
        <v>10</v>
      </c>
      <c r="E350" s="134">
        <f>0.078</f>
        <v>0.078</v>
      </c>
      <c r="F350" s="135">
        <f>'Gia NC,CM'!P32</f>
        <v>1271517.9</v>
      </c>
      <c r="G350" s="136">
        <f>ROUND(E350*F350,5)</f>
        <v>99178.3962</v>
      </c>
      <c r="H350" s="137"/>
    </row>
    <row r="351" spans="1:8" s="138" customFormat="1" ht="15" hidden="1">
      <c r="A351" s="160" t="s">
        <v>0</v>
      </c>
      <c r="B351" s="133" t="s">
        <v>0</v>
      </c>
      <c r="C351" s="133" t="s">
        <v>0</v>
      </c>
      <c r="D351" s="193" t="s">
        <v>0</v>
      </c>
      <c r="E351" s="134"/>
      <c r="F351" s="135"/>
      <c r="G351" s="136"/>
      <c r="H351" s="137"/>
    </row>
    <row r="352" spans="1:8" s="138" customFormat="1" ht="15" hidden="1">
      <c r="A352" s="160" t="s">
        <v>478</v>
      </c>
      <c r="B352" s="133" t="s">
        <v>479</v>
      </c>
      <c r="C352" s="133" t="s">
        <v>471</v>
      </c>
      <c r="D352" s="193" t="s">
        <v>472</v>
      </c>
      <c r="E352" s="134"/>
      <c r="F352" s="135"/>
      <c r="G352" s="136"/>
      <c r="H352" s="137"/>
    </row>
    <row r="353" spans="1:8" s="138" customFormat="1" ht="15" hidden="1">
      <c r="A353" s="160" t="s">
        <v>0</v>
      </c>
      <c r="B353" s="133" t="s">
        <v>0</v>
      </c>
      <c r="C353" s="133" t="s">
        <v>480</v>
      </c>
      <c r="D353" s="193" t="s">
        <v>0</v>
      </c>
      <c r="E353" s="134"/>
      <c r="F353" s="135"/>
      <c r="G353" s="136"/>
      <c r="H353" s="137"/>
    </row>
    <row r="354" spans="1:8" s="138" customFormat="1" ht="15.75" hidden="1">
      <c r="A354" s="160" t="s">
        <v>0</v>
      </c>
      <c r="B354" s="133" t="s">
        <v>0</v>
      </c>
      <c r="C354" s="133" t="s">
        <v>293</v>
      </c>
      <c r="D354" s="193" t="s">
        <v>0</v>
      </c>
      <c r="E354" s="134"/>
      <c r="F354" s="135"/>
      <c r="G354" s="139">
        <f>ROUND(SUM(G355),5)</f>
        <v>67390.4487</v>
      </c>
      <c r="H354" s="140"/>
    </row>
    <row r="355" spans="1:8" s="138" customFormat="1" ht="15" hidden="1">
      <c r="A355" s="160" t="s">
        <v>0</v>
      </c>
      <c r="B355" s="133" t="s">
        <v>0</v>
      </c>
      <c r="C355" s="133" t="s">
        <v>474</v>
      </c>
      <c r="D355" s="193" t="s">
        <v>10</v>
      </c>
      <c r="E355" s="134">
        <f>0.053</f>
        <v>0.053</v>
      </c>
      <c r="F355" s="135">
        <f>'Gia NC,CM'!P32</f>
        <v>1271517.9</v>
      </c>
      <c r="G355" s="136">
        <f>ROUND(E355*F355,5)</f>
        <v>67390.4487</v>
      </c>
      <c r="H355" s="137"/>
    </row>
    <row r="356" spans="1:8" s="138" customFormat="1" ht="15" hidden="1">
      <c r="A356" s="160" t="s">
        <v>0</v>
      </c>
      <c r="B356" s="133" t="s">
        <v>0</v>
      </c>
      <c r="C356" s="133" t="s">
        <v>0</v>
      </c>
      <c r="D356" s="193" t="s">
        <v>0</v>
      </c>
      <c r="E356" s="134"/>
      <c r="F356" s="135"/>
      <c r="G356" s="136"/>
      <c r="H356" s="137"/>
    </row>
    <row r="357" spans="1:8" s="138" customFormat="1" ht="15" hidden="1">
      <c r="A357" s="160" t="s">
        <v>481</v>
      </c>
      <c r="B357" s="133" t="s">
        <v>482</v>
      </c>
      <c r="C357" s="133" t="s">
        <v>483</v>
      </c>
      <c r="D357" s="193" t="s">
        <v>484</v>
      </c>
      <c r="E357" s="134"/>
      <c r="F357" s="135"/>
      <c r="G357" s="136"/>
      <c r="H357" s="137"/>
    </row>
    <row r="358" spans="1:8" s="138" customFormat="1" ht="15" hidden="1">
      <c r="A358" s="160" t="s">
        <v>0</v>
      </c>
      <c r="B358" s="133" t="s">
        <v>0</v>
      </c>
      <c r="C358" s="133" t="s">
        <v>473</v>
      </c>
      <c r="D358" s="193" t="s">
        <v>0</v>
      </c>
      <c r="E358" s="134"/>
      <c r="F358" s="135"/>
      <c r="G358" s="136"/>
      <c r="H358" s="137"/>
    </row>
    <row r="359" spans="1:8" s="138" customFormat="1" ht="15.75" hidden="1">
      <c r="A359" s="160" t="s">
        <v>0</v>
      </c>
      <c r="B359" s="133" t="s">
        <v>0</v>
      </c>
      <c r="C359" s="133" t="s">
        <v>293</v>
      </c>
      <c r="D359" s="193" t="s">
        <v>0</v>
      </c>
      <c r="E359" s="134"/>
      <c r="F359" s="135"/>
      <c r="G359" s="139">
        <f>ROUND(SUM(G360),5)</f>
        <v>46932.9876</v>
      </c>
      <c r="H359" s="140"/>
    </row>
    <row r="360" spans="1:8" s="138" customFormat="1" ht="15" hidden="1">
      <c r="A360" s="160" t="s">
        <v>0</v>
      </c>
      <c r="B360" s="133" t="s">
        <v>0</v>
      </c>
      <c r="C360" s="133" t="s">
        <v>485</v>
      </c>
      <c r="D360" s="193" t="s">
        <v>10</v>
      </c>
      <c r="E360" s="134">
        <f>0.027</f>
        <v>0.027</v>
      </c>
      <c r="F360" s="135">
        <f>'Gia NC,CM'!P31</f>
        <v>1738258.8</v>
      </c>
      <c r="G360" s="136">
        <f>ROUND(E360*F360,5)</f>
        <v>46932.9876</v>
      </c>
      <c r="H360" s="137"/>
    </row>
    <row r="361" spans="1:8" s="138" customFormat="1" ht="15" hidden="1">
      <c r="A361" s="160" t="s">
        <v>0</v>
      </c>
      <c r="B361" s="133" t="s">
        <v>0</v>
      </c>
      <c r="C361" s="133" t="s">
        <v>0</v>
      </c>
      <c r="D361" s="193" t="s">
        <v>0</v>
      </c>
      <c r="E361" s="134"/>
      <c r="F361" s="135"/>
      <c r="G361" s="136"/>
      <c r="H361" s="137"/>
    </row>
    <row r="362" spans="1:8" s="138" customFormat="1" ht="15" hidden="1">
      <c r="A362" s="160" t="s">
        <v>486</v>
      </c>
      <c r="B362" s="133" t="s">
        <v>487</v>
      </c>
      <c r="C362" s="133" t="s">
        <v>483</v>
      </c>
      <c r="D362" s="193" t="s">
        <v>484</v>
      </c>
      <c r="E362" s="134"/>
      <c r="F362" s="135"/>
      <c r="G362" s="136"/>
      <c r="H362" s="137"/>
    </row>
    <row r="363" spans="1:8" s="138" customFormat="1" ht="15" hidden="1">
      <c r="A363" s="160" t="s">
        <v>0</v>
      </c>
      <c r="B363" s="133" t="s">
        <v>0</v>
      </c>
      <c r="C363" s="133" t="s">
        <v>477</v>
      </c>
      <c r="D363" s="193" t="s">
        <v>0</v>
      </c>
      <c r="E363" s="134"/>
      <c r="F363" s="135"/>
      <c r="G363" s="136"/>
      <c r="H363" s="137"/>
    </row>
    <row r="364" spans="1:8" s="138" customFormat="1" ht="15.75" hidden="1">
      <c r="A364" s="160" t="s">
        <v>0</v>
      </c>
      <c r="B364" s="133" t="s">
        <v>0</v>
      </c>
      <c r="C364" s="133" t="s">
        <v>293</v>
      </c>
      <c r="D364" s="193" t="s">
        <v>0</v>
      </c>
      <c r="E364" s="134"/>
      <c r="F364" s="135"/>
      <c r="G364" s="139">
        <f>ROUND(SUM(G365),5)</f>
        <v>33026.9172</v>
      </c>
      <c r="H364" s="140"/>
    </row>
    <row r="365" spans="1:8" s="138" customFormat="1" ht="15" hidden="1">
      <c r="A365" s="160" t="s">
        <v>0</v>
      </c>
      <c r="B365" s="133" t="s">
        <v>0</v>
      </c>
      <c r="C365" s="133" t="s">
        <v>485</v>
      </c>
      <c r="D365" s="193" t="s">
        <v>10</v>
      </c>
      <c r="E365" s="134">
        <f>0.019</f>
        <v>0.019</v>
      </c>
      <c r="F365" s="135">
        <f>'Gia NC,CM'!P31</f>
        <v>1738258.8</v>
      </c>
      <c r="G365" s="136">
        <f>ROUND(E365*F365,5)</f>
        <v>33026.9172</v>
      </c>
      <c r="H365" s="137"/>
    </row>
    <row r="366" spans="1:8" s="138" customFormat="1" ht="15" hidden="1">
      <c r="A366" s="160" t="s">
        <v>0</v>
      </c>
      <c r="B366" s="133" t="s">
        <v>0</v>
      </c>
      <c r="C366" s="133" t="s">
        <v>0</v>
      </c>
      <c r="D366" s="193" t="s">
        <v>0</v>
      </c>
      <c r="E366" s="134"/>
      <c r="F366" s="135"/>
      <c r="G366" s="136"/>
      <c r="H366" s="137"/>
    </row>
    <row r="367" spans="1:8" s="138" customFormat="1" ht="15" hidden="1">
      <c r="A367" s="160" t="s">
        <v>488</v>
      </c>
      <c r="B367" s="133" t="s">
        <v>489</v>
      </c>
      <c r="C367" s="133" t="s">
        <v>483</v>
      </c>
      <c r="D367" s="193" t="s">
        <v>484</v>
      </c>
      <c r="E367" s="134"/>
      <c r="F367" s="135"/>
      <c r="G367" s="136"/>
      <c r="H367" s="137"/>
    </row>
    <row r="368" spans="1:8" s="138" customFormat="1" ht="15" hidden="1">
      <c r="A368" s="160" t="s">
        <v>0</v>
      </c>
      <c r="B368" s="133" t="s">
        <v>0</v>
      </c>
      <c r="C368" s="133" t="s">
        <v>480</v>
      </c>
      <c r="D368" s="193" t="s">
        <v>0</v>
      </c>
      <c r="E368" s="134"/>
      <c r="F368" s="135"/>
      <c r="G368" s="136"/>
      <c r="H368" s="137"/>
    </row>
    <row r="369" spans="1:8" s="138" customFormat="1" ht="15.75" hidden="1">
      <c r="A369" s="160" t="s">
        <v>0</v>
      </c>
      <c r="B369" s="133" t="s">
        <v>0</v>
      </c>
      <c r="C369" s="133" t="s">
        <v>293</v>
      </c>
      <c r="D369" s="193" t="s">
        <v>0</v>
      </c>
      <c r="E369" s="134"/>
      <c r="F369" s="135"/>
      <c r="G369" s="139">
        <f>ROUND(SUM(G370),5)</f>
        <v>24335.6232</v>
      </c>
      <c r="H369" s="140"/>
    </row>
    <row r="370" spans="1:8" s="138" customFormat="1" ht="15" hidden="1">
      <c r="A370" s="160" t="s">
        <v>0</v>
      </c>
      <c r="B370" s="133" t="s">
        <v>0</v>
      </c>
      <c r="C370" s="133" t="s">
        <v>485</v>
      </c>
      <c r="D370" s="193" t="s">
        <v>10</v>
      </c>
      <c r="E370" s="134">
        <f>0.014</f>
        <v>0.014</v>
      </c>
      <c r="F370" s="135">
        <f>'Gia NC,CM'!P31</f>
        <v>1738258.8</v>
      </c>
      <c r="G370" s="136">
        <f>ROUND(E370*F370,5)</f>
        <v>24335.6232</v>
      </c>
      <c r="H370" s="137"/>
    </row>
    <row r="371" spans="1:8" s="138" customFormat="1" ht="15" hidden="1">
      <c r="A371" s="160" t="s">
        <v>0</v>
      </c>
      <c r="B371" s="133" t="s">
        <v>0</v>
      </c>
      <c r="C371" s="133" t="s">
        <v>0</v>
      </c>
      <c r="D371" s="193" t="s">
        <v>0</v>
      </c>
      <c r="E371" s="134"/>
      <c r="F371" s="135"/>
      <c r="G371" s="136"/>
      <c r="H371" s="137"/>
    </row>
    <row r="372" spans="1:8" s="138" customFormat="1" ht="15" hidden="1">
      <c r="A372" s="160" t="s">
        <v>490</v>
      </c>
      <c r="B372" s="133" t="s">
        <v>491</v>
      </c>
      <c r="C372" s="133" t="s">
        <v>492</v>
      </c>
      <c r="D372" s="193" t="s">
        <v>484</v>
      </c>
      <c r="E372" s="134"/>
      <c r="F372" s="135"/>
      <c r="G372" s="136"/>
      <c r="H372" s="137"/>
    </row>
    <row r="373" spans="1:8" s="138" customFormat="1" ht="15" hidden="1">
      <c r="A373" s="160" t="s">
        <v>0</v>
      </c>
      <c r="B373" s="133" t="s">
        <v>0</v>
      </c>
      <c r="C373" s="133" t="s">
        <v>473</v>
      </c>
      <c r="D373" s="193" t="s">
        <v>0</v>
      </c>
      <c r="E373" s="134"/>
      <c r="F373" s="135"/>
      <c r="G373" s="136"/>
      <c r="H373" s="137"/>
    </row>
    <row r="374" spans="1:8" s="138" customFormat="1" ht="15.75" hidden="1">
      <c r="A374" s="160" t="s">
        <v>0</v>
      </c>
      <c r="B374" s="133" t="s">
        <v>0</v>
      </c>
      <c r="C374" s="133" t="s">
        <v>293</v>
      </c>
      <c r="D374" s="193" t="s">
        <v>0</v>
      </c>
      <c r="E374" s="134"/>
      <c r="F374" s="135"/>
      <c r="G374" s="139">
        <f>ROUND(SUM(G375),5)</f>
        <v>59100.7992</v>
      </c>
      <c r="H374" s="140"/>
    </row>
    <row r="375" spans="1:8" s="138" customFormat="1" ht="15" hidden="1">
      <c r="A375" s="160" t="s">
        <v>0</v>
      </c>
      <c r="B375" s="133" t="s">
        <v>0</v>
      </c>
      <c r="C375" s="133" t="s">
        <v>485</v>
      </c>
      <c r="D375" s="193" t="s">
        <v>10</v>
      </c>
      <c r="E375" s="134">
        <f>0.034</f>
        <v>0.034</v>
      </c>
      <c r="F375" s="135">
        <f>'Gia NC,CM'!P31</f>
        <v>1738258.8</v>
      </c>
      <c r="G375" s="136">
        <f>ROUND(E375*F375,5)</f>
        <v>59100.7992</v>
      </c>
      <c r="H375" s="137"/>
    </row>
    <row r="376" spans="1:8" s="138" customFormat="1" ht="15" hidden="1">
      <c r="A376" s="160" t="s">
        <v>0</v>
      </c>
      <c r="B376" s="133" t="s">
        <v>0</v>
      </c>
      <c r="C376" s="133" t="s">
        <v>0</v>
      </c>
      <c r="D376" s="193" t="s">
        <v>0</v>
      </c>
      <c r="E376" s="134"/>
      <c r="F376" s="135"/>
      <c r="G376" s="136"/>
      <c r="H376" s="137"/>
    </row>
    <row r="377" spans="1:8" s="138" customFormat="1" ht="15" hidden="1">
      <c r="A377" s="160" t="s">
        <v>493</v>
      </c>
      <c r="B377" s="133" t="s">
        <v>494</v>
      </c>
      <c r="C377" s="133" t="s">
        <v>492</v>
      </c>
      <c r="D377" s="193" t="s">
        <v>484</v>
      </c>
      <c r="E377" s="134"/>
      <c r="F377" s="135"/>
      <c r="G377" s="136"/>
      <c r="H377" s="137"/>
    </row>
    <row r="378" spans="1:8" s="138" customFormat="1" ht="15" hidden="1">
      <c r="A378" s="160" t="s">
        <v>0</v>
      </c>
      <c r="B378" s="133" t="s">
        <v>0</v>
      </c>
      <c r="C378" s="133" t="s">
        <v>477</v>
      </c>
      <c r="D378" s="193" t="s">
        <v>0</v>
      </c>
      <c r="E378" s="134"/>
      <c r="F378" s="135"/>
      <c r="G378" s="136"/>
      <c r="H378" s="137"/>
    </row>
    <row r="379" spans="1:8" s="138" customFormat="1" ht="15.75" hidden="1">
      <c r="A379" s="160" t="s">
        <v>0</v>
      </c>
      <c r="B379" s="133" t="s">
        <v>0</v>
      </c>
      <c r="C379" s="133" t="s">
        <v>293</v>
      </c>
      <c r="D379" s="193" t="s">
        <v>0</v>
      </c>
      <c r="E379" s="134"/>
      <c r="F379" s="135"/>
      <c r="G379" s="139">
        <f>ROUND(SUM(G380),5)</f>
        <v>43456.47</v>
      </c>
      <c r="H379" s="140"/>
    </row>
    <row r="380" spans="1:8" s="138" customFormat="1" ht="15" hidden="1">
      <c r="A380" s="160" t="s">
        <v>0</v>
      </c>
      <c r="B380" s="133" t="s">
        <v>0</v>
      </c>
      <c r="C380" s="133" t="s">
        <v>485</v>
      </c>
      <c r="D380" s="193" t="s">
        <v>10</v>
      </c>
      <c r="E380" s="134">
        <f>0.025</f>
        <v>0.025</v>
      </c>
      <c r="F380" s="135">
        <f>'Gia NC,CM'!P31</f>
        <v>1738258.8</v>
      </c>
      <c r="G380" s="136">
        <f>ROUND(E380*F380,5)</f>
        <v>43456.47</v>
      </c>
      <c r="H380" s="137"/>
    </row>
    <row r="381" spans="1:8" s="138" customFormat="1" ht="15" hidden="1">
      <c r="A381" s="160" t="s">
        <v>0</v>
      </c>
      <c r="B381" s="133" t="s">
        <v>0</v>
      </c>
      <c r="C381" s="133" t="s">
        <v>0</v>
      </c>
      <c r="D381" s="193" t="s">
        <v>0</v>
      </c>
      <c r="E381" s="134"/>
      <c r="F381" s="135"/>
      <c r="G381" s="136"/>
      <c r="H381" s="137"/>
    </row>
    <row r="382" spans="1:8" s="138" customFormat="1" ht="15" hidden="1">
      <c r="A382" s="160" t="s">
        <v>495</v>
      </c>
      <c r="B382" s="133" t="s">
        <v>496</v>
      </c>
      <c r="C382" s="133" t="s">
        <v>492</v>
      </c>
      <c r="D382" s="193" t="s">
        <v>484</v>
      </c>
      <c r="E382" s="134"/>
      <c r="F382" s="135"/>
      <c r="G382" s="136"/>
      <c r="H382" s="137"/>
    </row>
    <row r="383" spans="1:8" s="138" customFormat="1" ht="15" hidden="1">
      <c r="A383" s="160" t="s">
        <v>0</v>
      </c>
      <c r="B383" s="133" t="s">
        <v>0</v>
      </c>
      <c r="C383" s="133" t="s">
        <v>480</v>
      </c>
      <c r="D383" s="193" t="s">
        <v>0</v>
      </c>
      <c r="E383" s="134"/>
      <c r="F383" s="135"/>
      <c r="G383" s="136"/>
      <c r="H383" s="137"/>
    </row>
    <row r="384" spans="1:8" s="138" customFormat="1" ht="15.75" hidden="1">
      <c r="A384" s="160" t="s">
        <v>0</v>
      </c>
      <c r="B384" s="133" t="s">
        <v>0</v>
      </c>
      <c r="C384" s="133" t="s">
        <v>293</v>
      </c>
      <c r="D384" s="193" t="s">
        <v>0</v>
      </c>
      <c r="E384" s="134"/>
      <c r="F384" s="135"/>
      <c r="G384" s="139">
        <f>ROUND(SUM(G385),5)</f>
        <v>31288.6584</v>
      </c>
      <c r="H384" s="140"/>
    </row>
    <row r="385" spans="1:8" s="138" customFormat="1" ht="15" hidden="1">
      <c r="A385" s="160" t="s">
        <v>0</v>
      </c>
      <c r="B385" s="133" t="s">
        <v>0</v>
      </c>
      <c r="C385" s="133" t="s">
        <v>485</v>
      </c>
      <c r="D385" s="193" t="s">
        <v>10</v>
      </c>
      <c r="E385" s="134">
        <f>0.018</f>
        <v>0.018</v>
      </c>
      <c r="F385" s="135">
        <f>'Gia NC,CM'!P31</f>
        <v>1738258.8</v>
      </c>
      <c r="G385" s="136">
        <f>ROUND(E385*F385,5)</f>
        <v>31288.6584</v>
      </c>
      <c r="H385" s="137"/>
    </row>
    <row r="386" spans="1:8" s="138" customFormat="1" ht="15" hidden="1">
      <c r="A386" s="160" t="s">
        <v>0</v>
      </c>
      <c r="B386" s="133" t="s">
        <v>0</v>
      </c>
      <c r="C386" s="133" t="s">
        <v>0</v>
      </c>
      <c r="D386" s="193" t="s">
        <v>0</v>
      </c>
      <c r="E386" s="134"/>
      <c r="F386" s="135"/>
      <c r="G386" s="136"/>
      <c r="H386" s="137"/>
    </row>
    <row r="387" spans="1:8" s="138" customFormat="1" ht="15" hidden="1">
      <c r="A387" s="160" t="s">
        <v>497</v>
      </c>
      <c r="B387" s="133" t="s">
        <v>498</v>
      </c>
      <c r="C387" s="133" t="s">
        <v>499</v>
      </c>
      <c r="D387" s="193" t="s">
        <v>472</v>
      </c>
      <c r="E387" s="134"/>
      <c r="F387" s="135"/>
      <c r="G387" s="136"/>
      <c r="H387" s="137"/>
    </row>
    <row r="388" spans="1:8" s="138" customFormat="1" ht="15" hidden="1">
      <c r="A388" s="160" t="s">
        <v>0</v>
      </c>
      <c r="B388" s="133" t="s">
        <v>0</v>
      </c>
      <c r="C388" s="133" t="s">
        <v>473</v>
      </c>
      <c r="D388" s="193" t="s">
        <v>0</v>
      </c>
      <c r="E388" s="134"/>
      <c r="F388" s="135"/>
      <c r="G388" s="136"/>
      <c r="H388" s="137"/>
    </row>
    <row r="389" spans="1:8" s="138" customFormat="1" ht="15.75" hidden="1">
      <c r="A389" s="160" t="s">
        <v>0</v>
      </c>
      <c r="B389" s="133" t="s">
        <v>0</v>
      </c>
      <c r="C389" s="133" t="s">
        <v>293</v>
      </c>
      <c r="D389" s="193" t="s">
        <v>0</v>
      </c>
      <c r="E389" s="134"/>
      <c r="F389" s="135"/>
      <c r="G389" s="139">
        <f>ROUND(SUM(G390),5)</f>
        <v>96635.3604</v>
      </c>
      <c r="H389" s="140"/>
    </row>
    <row r="390" spans="1:8" s="138" customFormat="1" ht="15" hidden="1">
      <c r="A390" s="160" t="s">
        <v>0</v>
      </c>
      <c r="B390" s="133" t="s">
        <v>0</v>
      </c>
      <c r="C390" s="133" t="s">
        <v>474</v>
      </c>
      <c r="D390" s="193" t="s">
        <v>10</v>
      </c>
      <c r="E390" s="134">
        <f>0.076</f>
        <v>0.076</v>
      </c>
      <c r="F390" s="135">
        <f>'Gia NC,CM'!P32</f>
        <v>1271517.9</v>
      </c>
      <c r="G390" s="136">
        <f>ROUND(E390*F390,5)</f>
        <v>96635.3604</v>
      </c>
      <c r="H390" s="137"/>
    </row>
    <row r="391" spans="1:11" s="138" customFormat="1" ht="15" hidden="1">
      <c r="A391" s="160" t="s">
        <v>0</v>
      </c>
      <c r="B391" s="133" t="s">
        <v>0</v>
      </c>
      <c r="C391" s="133" t="s">
        <v>0</v>
      </c>
      <c r="D391" s="193" t="s">
        <v>0</v>
      </c>
      <c r="E391" s="134"/>
      <c r="F391" s="135"/>
      <c r="G391" s="136"/>
      <c r="H391" s="137"/>
      <c r="K391" s="138">
        <v>1000</v>
      </c>
    </row>
    <row r="392" spans="1:11" s="138" customFormat="1" ht="15" hidden="1">
      <c r="A392" s="160" t="s">
        <v>500</v>
      </c>
      <c r="B392" s="133" t="s">
        <v>501</v>
      </c>
      <c r="C392" s="133" t="s">
        <v>499</v>
      </c>
      <c r="D392" s="193" t="s">
        <v>472</v>
      </c>
      <c r="E392" s="134"/>
      <c r="F392" s="135"/>
      <c r="G392" s="136"/>
      <c r="H392" s="137"/>
      <c r="K392" s="138">
        <f>J389*2.7/K391</f>
        <v>0</v>
      </c>
    </row>
    <row r="393" spans="1:8" s="138" customFormat="1" ht="15" hidden="1">
      <c r="A393" s="160" t="s">
        <v>0</v>
      </c>
      <c r="B393" s="133" t="s">
        <v>0</v>
      </c>
      <c r="C393" s="133" t="s">
        <v>477</v>
      </c>
      <c r="D393" s="193" t="s">
        <v>0</v>
      </c>
      <c r="E393" s="134"/>
      <c r="F393" s="135"/>
      <c r="G393" s="136"/>
      <c r="H393" s="137"/>
    </row>
    <row r="394" spans="1:8" s="138" customFormat="1" ht="15.75" hidden="1">
      <c r="A394" s="160" t="s">
        <v>0</v>
      </c>
      <c r="B394" s="133" t="s">
        <v>0</v>
      </c>
      <c r="C394" s="133" t="s">
        <v>293</v>
      </c>
      <c r="D394" s="193" t="s">
        <v>0</v>
      </c>
      <c r="E394" s="134"/>
      <c r="F394" s="135"/>
      <c r="G394" s="139">
        <f>ROUND(SUM(G395),5)</f>
        <v>69933.4845</v>
      </c>
      <c r="H394" s="140"/>
    </row>
    <row r="395" spans="1:8" s="138" customFormat="1" ht="15" hidden="1">
      <c r="A395" s="160" t="s">
        <v>0</v>
      </c>
      <c r="B395" s="133" t="s">
        <v>0</v>
      </c>
      <c r="C395" s="133" t="s">
        <v>474</v>
      </c>
      <c r="D395" s="193" t="s">
        <v>10</v>
      </c>
      <c r="E395" s="134">
        <f>0.055</f>
        <v>0.055</v>
      </c>
      <c r="F395" s="135">
        <f>'Gia NC,CM'!P32</f>
        <v>1271517.9</v>
      </c>
      <c r="G395" s="136">
        <f>ROUND(E395*F395,5)</f>
        <v>69933.4845</v>
      </c>
      <c r="H395" s="137"/>
    </row>
    <row r="396" spans="1:8" s="138" customFormat="1" ht="15" hidden="1">
      <c r="A396" s="160" t="s">
        <v>0</v>
      </c>
      <c r="B396" s="133" t="s">
        <v>0</v>
      </c>
      <c r="C396" s="133" t="s">
        <v>0</v>
      </c>
      <c r="D396" s="193" t="s">
        <v>0</v>
      </c>
      <c r="E396" s="134"/>
      <c r="F396" s="135"/>
      <c r="G396" s="136"/>
      <c r="H396" s="137"/>
    </row>
    <row r="397" spans="1:8" s="138" customFormat="1" ht="15" hidden="1">
      <c r="A397" s="160" t="s">
        <v>502</v>
      </c>
      <c r="B397" s="133" t="s">
        <v>503</v>
      </c>
      <c r="C397" s="133" t="s">
        <v>499</v>
      </c>
      <c r="D397" s="193" t="s">
        <v>472</v>
      </c>
      <c r="E397" s="134"/>
      <c r="F397" s="135"/>
      <c r="G397" s="136"/>
      <c r="H397" s="137"/>
    </row>
    <row r="398" spans="1:8" s="138" customFormat="1" ht="15" hidden="1">
      <c r="A398" s="160" t="s">
        <v>0</v>
      </c>
      <c r="B398" s="133" t="s">
        <v>0</v>
      </c>
      <c r="C398" s="133" t="s">
        <v>480</v>
      </c>
      <c r="D398" s="193" t="s">
        <v>0</v>
      </c>
      <c r="E398" s="134"/>
      <c r="F398" s="135"/>
      <c r="G398" s="136"/>
      <c r="H398" s="137"/>
    </row>
    <row r="399" spans="1:8" s="138" customFormat="1" ht="15.75" hidden="1">
      <c r="A399" s="160" t="s">
        <v>0</v>
      </c>
      <c r="B399" s="133" t="s">
        <v>0</v>
      </c>
      <c r="C399" s="133" t="s">
        <v>293</v>
      </c>
      <c r="D399" s="193" t="s">
        <v>0</v>
      </c>
      <c r="E399" s="134"/>
      <c r="F399" s="135"/>
      <c r="G399" s="139">
        <f>ROUND(SUM(G400),5)</f>
        <v>47046.1623</v>
      </c>
      <c r="H399" s="140"/>
    </row>
    <row r="400" spans="1:8" s="138" customFormat="1" ht="15" hidden="1">
      <c r="A400" s="160" t="s">
        <v>0</v>
      </c>
      <c r="B400" s="133" t="s">
        <v>0</v>
      </c>
      <c r="C400" s="133" t="s">
        <v>474</v>
      </c>
      <c r="D400" s="193" t="s">
        <v>10</v>
      </c>
      <c r="E400" s="134">
        <f>0.037</f>
        <v>0.037</v>
      </c>
      <c r="F400" s="135">
        <f>'Gia NC,CM'!P32</f>
        <v>1271517.9</v>
      </c>
      <c r="G400" s="136">
        <f>ROUND(E400*F400,5)</f>
        <v>47046.1623</v>
      </c>
      <c r="H400" s="137"/>
    </row>
    <row r="401" spans="1:8" s="138" customFormat="1" ht="15" hidden="1">
      <c r="A401" s="160" t="s">
        <v>0</v>
      </c>
      <c r="B401" s="133" t="s">
        <v>0</v>
      </c>
      <c r="C401" s="133" t="s">
        <v>0</v>
      </c>
      <c r="D401" s="193" t="s">
        <v>0</v>
      </c>
      <c r="E401" s="134"/>
      <c r="F401" s="135"/>
      <c r="G401" s="136"/>
      <c r="H401" s="137"/>
    </row>
    <row r="402" spans="1:8" s="138" customFormat="1" ht="15" hidden="1">
      <c r="A402" s="160" t="s">
        <v>504</v>
      </c>
      <c r="B402" s="133" t="s">
        <v>505</v>
      </c>
      <c r="C402" s="133" t="s">
        <v>506</v>
      </c>
      <c r="D402" s="193" t="s">
        <v>472</v>
      </c>
      <c r="E402" s="134"/>
      <c r="F402" s="135"/>
      <c r="G402" s="136"/>
      <c r="H402" s="137"/>
    </row>
    <row r="403" spans="1:8" s="138" customFormat="1" ht="15" hidden="1">
      <c r="A403" s="160" t="s">
        <v>0</v>
      </c>
      <c r="B403" s="133" t="s">
        <v>0</v>
      </c>
      <c r="C403" s="133" t="s">
        <v>473</v>
      </c>
      <c r="D403" s="193" t="s">
        <v>0</v>
      </c>
      <c r="E403" s="134"/>
      <c r="F403" s="135"/>
      <c r="G403" s="136"/>
      <c r="H403" s="137"/>
    </row>
    <row r="404" spans="1:8" s="138" customFormat="1" ht="15.75" hidden="1">
      <c r="A404" s="160" t="s">
        <v>0</v>
      </c>
      <c r="B404" s="133" t="s">
        <v>0</v>
      </c>
      <c r="C404" s="133" t="s">
        <v>293</v>
      </c>
      <c r="D404" s="193" t="s">
        <v>0</v>
      </c>
      <c r="E404" s="134"/>
      <c r="F404" s="135"/>
      <c r="G404" s="139">
        <f>ROUND(SUM(G405),5)</f>
        <v>54675.2697</v>
      </c>
      <c r="H404" s="140"/>
    </row>
    <row r="405" spans="1:8" s="138" customFormat="1" ht="15" hidden="1">
      <c r="A405" s="160" t="s">
        <v>0</v>
      </c>
      <c r="B405" s="133" t="s">
        <v>0</v>
      </c>
      <c r="C405" s="133" t="s">
        <v>474</v>
      </c>
      <c r="D405" s="193" t="s">
        <v>10</v>
      </c>
      <c r="E405" s="134">
        <f>0.043</f>
        <v>0.043</v>
      </c>
      <c r="F405" s="135">
        <f>'Gia NC,CM'!P32</f>
        <v>1271517.9</v>
      </c>
      <c r="G405" s="136">
        <f>ROUND(E405*F405,5)</f>
        <v>54675.2697</v>
      </c>
      <c r="H405" s="137"/>
    </row>
    <row r="406" spans="1:8" s="138" customFormat="1" ht="15" hidden="1">
      <c r="A406" s="160" t="s">
        <v>0</v>
      </c>
      <c r="B406" s="133" t="s">
        <v>0</v>
      </c>
      <c r="C406" s="133" t="s">
        <v>0</v>
      </c>
      <c r="D406" s="193" t="s">
        <v>0</v>
      </c>
      <c r="E406" s="134"/>
      <c r="F406" s="135"/>
      <c r="G406" s="136"/>
      <c r="H406" s="137"/>
    </row>
    <row r="407" spans="1:8" s="138" customFormat="1" ht="15" hidden="1">
      <c r="A407" s="160" t="s">
        <v>507</v>
      </c>
      <c r="B407" s="133" t="s">
        <v>508</v>
      </c>
      <c r="C407" s="133" t="s">
        <v>506</v>
      </c>
      <c r="D407" s="193" t="s">
        <v>472</v>
      </c>
      <c r="E407" s="134"/>
      <c r="F407" s="135"/>
      <c r="G407" s="136"/>
      <c r="H407" s="137"/>
    </row>
    <row r="408" spans="1:8" s="138" customFormat="1" ht="15" hidden="1">
      <c r="A408" s="160" t="s">
        <v>0</v>
      </c>
      <c r="B408" s="133" t="s">
        <v>0</v>
      </c>
      <c r="C408" s="133" t="s">
        <v>477</v>
      </c>
      <c r="D408" s="193" t="s">
        <v>0</v>
      </c>
      <c r="E408" s="134"/>
      <c r="F408" s="135"/>
      <c r="G408" s="136"/>
      <c r="H408" s="137"/>
    </row>
    <row r="409" spans="1:8" s="138" customFormat="1" ht="15.75" hidden="1">
      <c r="A409" s="160" t="s">
        <v>0</v>
      </c>
      <c r="B409" s="133" t="s">
        <v>0</v>
      </c>
      <c r="C409" s="133" t="s">
        <v>293</v>
      </c>
      <c r="D409" s="193" t="s">
        <v>0</v>
      </c>
      <c r="E409" s="134"/>
      <c r="F409" s="135"/>
      <c r="G409" s="139">
        <f>ROUND(SUM(G410),5)</f>
        <v>39417.0549</v>
      </c>
      <c r="H409" s="140"/>
    </row>
    <row r="410" spans="1:8" s="138" customFormat="1" ht="15" hidden="1">
      <c r="A410" s="160" t="s">
        <v>0</v>
      </c>
      <c r="B410" s="133" t="s">
        <v>0</v>
      </c>
      <c r="C410" s="133" t="s">
        <v>474</v>
      </c>
      <c r="D410" s="193" t="s">
        <v>10</v>
      </c>
      <c r="E410" s="134">
        <f>0.031</f>
        <v>0.031</v>
      </c>
      <c r="F410" s="135">
        <f>'Gia NC,CM'!P32</f>
        <v>1271517.9</v>
      </c>
      <c r="G410" s="136">
        <f>ROUND(E410*F410,5)</f>
        <v>39417.0549</v>
      </c>
      <c r="H410" s="137"/>
    </row>
    <row r="411" spans="1:8" s="138" customFormat="1" ht="15" hidden="1">
      <c r="A411" s="160" t="s">
        <v>0</v>
      </c>
      <c r="B411" s="133" t="s">
        <v>0</v>
      </c>
      <c r="C411" s="133" t="s">
        <v>0</v>
      </c>
      <c r="D411" s="193" t="s">
        <v>0</v>
      </c>
      <c r="E411" s="134"/>
      <c r="F411" s="135"/>
      <c r="G411" s="136"/>
      <c r="H411" s="137"/>
    </row>
    <row r="412" spans="1:8" s="138" customFormat="1" ht="15" hidden="1">
      <c r="A412" s="160" t="s">
        <v>509</v>
      </c>
      <c r="B412" s="133" t="s">
        <v>510</v>
      </c>
      <c r="C412" s="133" t="s">
        <v>506</v>
      </c>
      <c r="D412" s="193" t="s">
        <v>472</v>
      </c>
      <c r="E412" s="134"/>
      <c r="F412" s="135"/>
      <c r="G412" s="136"/>
      <c r="H412" s="137"/>
    </row>
    <row r="413" spans="1:8" s="138" customFormat="1" ht="15" hidden="1">
      <c r="A413" s="160" t="s">
        <v>0</v>
      </c>
      <c r="B413" s="133" t="s">
        <v>0</v>
      </c>
      <c r="C413" s="133" t="s">
        <v>480</v>
      </c>
      <c r="D413" s="193" t="s">
        <v>0</v>
      </c>
      <c r="E413" s="134"/>
      <c r="F413" s="135"/>
      <c r="G413" s="136"/>
      <c r="H413" s="137"/>
    </row>
    <row r="414" spans="1:8" s="138" customFormat="1" ht="15.75" hidden="1">
      <c r="A414" s="160" t="s">
        <v>0</v>
      </c>
      <c r="B414" s="133" t="s">
        <v>0</v>
      </c>
      <c r="C414" s="133" t="s">
        <v>293</v>
      </c>
      <c r="D414" s="193" t="s">
        <v>0</v>
      </c>
      <c r="E414" s="134"/>
      <c r="F414" s="135"/>
      <c r="G414" s="139">
        <f>ROUND(SUM(G415),5)</f>
        <v>26701.8759</v>
      </c>
      <c r="H414" s="140"/>
    </row>
    <row r="415" spans="1:8" s="138" customFormat="1" ht="15" hidden="1">
      <c r="A415" s="160" t="s">
        <v>0</v>
      </c>
      <c r="B415" s="133" t="s">
        <v>0</v>
      </c>
      <c r="C415" s="133" t="s">
        <v>474</v>
      </c>
      <c r="D415" s="193" t="s">
        <v>10</v>
      </c>
      <c r="E415" s="134">
        <f>0.021</f>
        <v>0.021</v>
      </c>
      <c r="F415" s="135">
        <f>'Gia NC,CM'!P32</f>
        <v>1271517.9</v>
      </c>
      <c r="G415" s="136">
        <f>ROUND(E415*F415,5)</f>
        <v>26701.8759</v>
      </c>
      <c r="H415" s="137"/>
    </row>
    <row r="416" spans="1:8" s="138" customFormat="1" ht="15" hidden="1">
      <c r="A416" s="160" t="s">
        <v>0</v>
      </c>
      <c r="B416" s="133" t="s">
        <v>0</v>
      </c>
      <c r="C416" s="133" t="s">
        <v>0</v>
      </c>
      <c r="D416" s="193" t="s">
        <v>0</v>
      </c>
      <c r="E416" s="134"/>
      <c r="F416" s="135"/>
      <c r="G416" s="136"/>
      <c r="H416" s="137"/>
    </row>
    <row r="417" spans="1:8" s="138" customFormat="1" ht="15" hidden="1">
      <c r="A417" s="160" t="s">
        <v>511</v>
      </c>
      <c r="B417" s="133" t="s">
        <v>512</v>
      </c>
      <c r="C417" s="133" t="s">
        <v>513</v>
      </c>
      <c r="D417" s="193" t="s">
        <v>472</v>
      </c>
      <c r="E417" s="134"/>
      <c r="F417" s="135"/>
      <c r="G417" s="136"/>
      <c r="H417" s="137"/>
    </row>
    <row r="418" spans="1:8" s="138" customFormat="1" ht="15" hidden="1">
      <c r="A418" s="160" t="s">
        <v>0</v>
      </c>
      <c r="B418" s="133" t="s">
        <v>0</v>
      </c>
      <c r="C418" s="133" t="s">
        <v>473</v>
      </c>
      <c r="D418" s="193" t="s">
        <v>0</v>
      </c>
      <c r="E418" s="134"/>
      <c r="F418" s="135"/>
      <c r="G418" s="136"/>
      <c r="H418" s="137"/>
    </row>
    <row r="419" spans="1:8" s="138" customFormat="1" ht="15.75" hidden="1">
      <c r="A419" s="160" t="s">
        <v>0</v>
      </c>
      <c r="B419" s="133" t="s">
        <v>0</v>
      </c>
      <c r="C419" s="133" t="s">
        <v>293</v>
      </c>
      <c r="D419" s="193" t="s">
        <v>0</v>
      </c>
      <c r="E419" s="134"/>
      <c r="F419" s="135"/>
      <c r="G419" s="139">
        <f>ROUND(SUM(G420),5)</f>
        <v>27973.3938</v>
      </c>
      <c r="H419" s="140"/>
    </row>
    <row r="420" spans="1:8" s="138" customFormat="1" ht="15" hidden="1">
      <c r="A420" s="160" t="s">
        <v>0</v>
      </c>
      <c r="B420" s="133" t="s">
        <v>0</v>
      </c>
      <c r="C420" s="133" t="s">
        <v>474</v>
      </c>
      <c r="D420" s="193" t="s">
        <v>10</v>
      </c>
      <c r="E420" s="134">
        <f>0.022</f>
        <v>0.022</v>
      </c>
      <c r="F420" s="135">
        <f>'Gia NC,CM'!P32</f>
        <v>1271517.9</v>
      </c>
      <c r="G420" s="136">
        <f>ROUND(E420*F420,5)</f>
        <v>27973.3938</v>
      </c>
      <c r="H420" s="137"/>
    </row>
    <row r="421" spans="1:8" s="138" customFormat="1" ht="15" hidden="1">
      <c r="A421" s="160" t="s">
        <v>0</v>
      </c>
      <c r="B421" s="133" t="s">
        <v>0</v>
      </c>
      <c r="C421" s="133" t="s">
        <v>0</v>
      </c>
      <c r="D421" s="193" t="s">
        <v>0</v>
      </c>
      <c r="E421" s="134"/>
      <c r="F421" s="135"/>
      <c r="G421" s="136"/>
      <c r="H421" s="137"/>
    </row>
    <row r="422" spans="1:8" s="138" customFormat="1" ht="15" hidden="1">
      <c r="A422" s="160" t="s">
        <v>514</v>
      </c>
      <c r="B422" s="133" t="s">
        <v>515</v>
      </c>
      <c r="C422" s="133" t="s">
        <v>513</v>
      </c>
      <c r="D422" s="193" t="s">
        <v>472</v>
      </c>
      <c r="E422" s="134"/>
      <c r="F422" s="135"/>
      <c r="G422" s="136"/>
      <c r="H422" s="137"/>
    </row>
    <row r="423" spans="1:8" s="138" customFormat="1" ht="15" hidden="1">
      <c r="A423" s="160" t="s">
        <v>0</v>
      </c>
      <c r="B423" s="133" t="s">
        <v>0</v>
      </c>
      <c r="C423" s="133" t="s">
        <v>477</v>
      </c>
      <c r="D423" s="193" t="s">
        <v>0</v>
      </c>
      <c r="E423" s="134"/>
      <c r="F423" s="135"/>
      <c r="G423" s="136"/>
      <c r="H423" s="137"/>
    </row>
    <row r="424" spans="1:8" s="138" customFormat="1" ht="15.75" hidden="1">
      <c r="A424" s="160" t="s">
        <v>0</v>
      </c>
      <c r="B424" s="133" t="s">
        <v>0</v>
      </c>
      <c r="C424" s="133" t="s">
        <v>293</v>
      </c>
      <c r="D424" s="193" t="s">
        <v>0</v>
      </c>
      <c r="E424" s="134"/>
      <c r="F424" s="135"/>
      <c r="G424" s="139">
        <f>ROUND(SUM(G425),5)</f>
        <v>20344.2864</v>
      </c>
      <c r="H424" s="140"/>
    </row>
    <row r="425" spans="1:8" s="138" customFormat="1" ht="15" hidden="1">
      <c r="A425" s="160" t="s">
        <v>0</v>
      </c>
      <c r="B425" s="133" t="s">
        <v>0</v>
      </c>
      <c r="C425" s="133" t="s">
        <v>474</v>
      </c>
      <c r="D425" s="193" t="s">
        <v>10</v>
      </c>
      <c r="E425" s="134">
        <f>0.016</f>
        <v>0.016</v>
      </c>
      <c r="F425" s="135">
        <f>'Gia NC,CM'!P32</f>
        <v>1271517.9</v>
      </c>
      <c r="G425" s="136">
        <f>ROUND(E425*F425,5)</f>
        <v>20344.2864</v>
      </c>
      <c r="H425" s="137"/>
    </row>
    <row r="426" spans="1:8" s="138" customFormat="1" ht="15" hidden="1">
      <c r="A426" s="160" t="s">
        <v>0</v>
      </c>
      <c r="B426" s="133" t="s">
        <v>0</v>
      </c>
      <c r="C426" s="133" t="s">
        <v>0</v>
      </c>
      <c r="D426" s="193" t="s">
        <v>0</v>
      </c>
      <c r="E426" s="134"/>
      <c r="F426" s="135"/>
      <c r="G426" s="136"/>
      <c r="H426" s="137"/>
    </row>
    <row r="427" spans="1:8" s="138" customFormat="1" ht="15" hidden="1">
      <c r="A427" s="160" t="s">
        <v>516</v>
      </c>
      <c r="B427" s="133" t="s">
        <v>517</v>
      </c>
      <c r="C427" s="133" t="s">
        <v>513</v>
      </c>
      <c r="D427" s="193" t="s">
        <v>472</v>
      </c>
      <c r="E427" s="134"/>
      <c r="F427" s="135"/>
      <c r="G427" s="136"/>
      <c r="H427" s="137"/>
    </row>
    <row r="428" spans="1:8" s="138" customFormat="1" ht="15" hidden="1">
      <c r="A428" s="160" t="s">
        <v>0</v>
      </c>
      <c r="B428" s="133" t="s">
        <v>0</v>
      </c>
      <c r="C428" s="133" t="s">
        <v>480</v>
      </c>
      <c r="D428" s="193" t="s">
        <v>0</v>
      </c>
      <c r="E428" s="134"/>
      <c r="F428" s="135"/>
      <c r="G428" s="136"/>
      <c r="H428" s="137"/>
    </row>
    <row r="429" spans="1:8" s="138" customFormat="1" ht="15.75" hidden="1">
      <c r="A429" s="160" t="s">
        <v>0</v>
      </c>
      <c r="B429" s="133" t="s">
        <v>0</v>
      </c>
      <c r="C429" s="133" t="s">
        <v>293</v>
      </c>
      <c r="D429" s="193" t="s">
        <v>0</v>
      </c>
      <c r="E429" s="134"/>
      <c r="F429" s="135"/>
      <c r="G429" s="139">
        <f>ROUND(SUM(G430),5)</f>
        <v>13986.6969</v>
      </c>
      <c r="H429" s="140"/>
    </row>
    <row r="430" spans="1:8" s="138" customFormat="1" ht="15" hidden="1">
      <c r="A430" s="160" t="s">
        <v>0</v>
      </c>
      <c r="B430" s="133" t="s">
        <v>0</v>
      </c>
      <c r="C430" s="133" t="s">
        <v>474</v>
      </c>
      <c r="D430" s="193" t="s">
        <v>10</v>
      </c>
      <c r="E430" s="134">
        <f>0.011</f>
        <v>0.011</v>
      </c>
      <c r="F430" s="135">
        <f>'Gia NC,CM'!P32</f>
        <v>1271517.9</v>
      </c>
      <c r="G430" s="136">
        <f>ROUND(E430*F430,5)</f>
        <v>13986.6969</v>
      </c>
      <c r="H430" s="137"/>
    </row>
    <row r="431" spans="1:8" s="138" customFormat="1" ht="15" hidden="1">
      <c r="A431" s="160" t="s">
        <v>0</v>
      </c>
      <c r="B431" s="133" t="s">
        <v>0</v>
      </c>
      <c r="C431" s="133" t="s">
        <v>0</v>
      </c>
      <c r="D431" s="193" t="s">
        <v>0</v>
      </c>
      <c r="E431" s="134"/>
      <c r="F431" s="135"/>
      <c r="G431" s="136"/>
      <c r="H431" s="137"/>
    </row>
    <row r="432" spans="1:8" s="138" customFormat="1" ht="15" hidden="1">
      <c r="A432" s="160" t="s">
        <v>518</v>
      </c>
      <c r="B432" s="133" t="s">
        <v>519</v>
      </c>
      <c r="C432" s="133" t="s">
        <v>520</v>
      </c>
      <c r="D432" s="193" t="s">
        <v>472</v>
      </c>
      <c r="E432" s="134"/>
      <c r="F432" s="135"/>
      <c r="G432" s="136"/>
      <c r="H432" s="137"/>
    </row>
    <row r="433" spans="1:8" s="138" customFormat="1" ht="15" hidden="1">
      <c r="A433" s="160" t="s">
        <v>0</v>
      </c>
      <c r="B433" s="133" t="s">
        <v>0</v>
      </c>
      <c r="C433" s="133" t="s">
        <v>473</v>
      </c>
      <c r="D433" s="193" t="s">
        <v>0</v>
      </c>
      <c r="E433" s="134"/>
      <c r="F433" s="135"/>
      <c r="G433" s="136"/>
      <c r="H433" s="137"/>
    </row>
    <row r="434" spans="1:8" s="138" customFormat="1" ht="15.75" hidden="1">
      <c r="A434" s="160" t="s">
        <v>0</v>
      </c>
      <c r="B434" s="133" t="s">
        <v>0</v>
      </c>
      <c r="C434" s="133" t="s">
        <v>293</v>
      </c>
      <c r="D434" s="193" t="s">
        <v>0</v>
      </c>
      <c r="E434" s="134"/>
      <c r="F434" s="135"/>
      <c r="G434" s="139">
        <f>ROUND(SUM(G435),5)</f>
        <v>30516.4296</v>
      </c>
      <c r="H434" s="140"/>
    </row>
    <row r="435" spans="1:8" s="138" customFormat="1" ht="15" hidden="1">
      <c r="A435" s="160" t="s">
        <v>0</v>
      </c>
      <c r="B435" s="133" t="s">
        <v>0</v>
      </c>
      <c r="C435" s="133" t="s">
        <v>474</v>
      </c>
      <c r="D435" s="193" t="s">
        <v>10</v>
      </c>
      <c r="E435" s="134">
        <f>0.024</f>
        <v>0.024</v>
      </c>
      <c r="F435" s="135">
        <f>'Gia NC,CM'!P32</f>
        <v>1271517.9</v>
      </c>
      <c r="G435" s="136">
        <f>ROUND(E435*F435,5)</f>
        <v>30516.4296</v>
      </c>
      <c r="H435" s="137"/>
    </row>
    <row r="436" spans="1:8" s="138" customFormat="1" ht="15" hidden="1">
      <c r="A436" s="160" t="s">
        <v>0</v>
      </c>
      <c r="B436" s="133" t="s">
        <v>0</v>
      </c>
      <c r="C436" s="133" t="s">
        <v>0</v>
      </c>
      <c r="D436" s="193" t="s">
        <v>0</v>
      </c>
      <c r="E436" s="134"/>
      <c r="F436" s="135"/>
      <c r="G436" s="136"/>
      <c r="H436" s="137"/>
    </row>
    <row r="437" spans="1:8" s="138" customFormat="1" ht="15" hidden="1">
      <c r="A437" s="160" t="s">
        <v>521</v>
      </c>
      <c r="B437" s="133" t="s">
        <v>522</v>
      </c>
      <c r="C437" s="133" t="s">
        <v>520</v>
      </c>
      <c r="D437" s="193" t="s">
        <v>472</v>
      </c>
      <c r="E437" s="134"/>
      <c r="F437" s="135"/>
      <c r="G437" s="136"/>
      <c r="H437" s="137"/>
    </row>
    <row r="438" spans="1:8" s="138" customFormat="1" ht="15" hidden="1">
      <c r="A438" s="160" t="s">
        <v>0</v>
      </c>
      <c r="B438" s="133" t="s">
        <v>0</v>
      </c>
      <c r="C438" s="133" t="s">
        <v>477</v>
      </c>
      <c r="D438" s="193" t="s">
        <v>0</v>
      </c>
      <c r="E438" s="134"/>
      <c r="F438" s="135"/>
      <c r="G438" s="136"/>
      <c r="H438" s="137"/>
    </row>
    <row r="439" spans="1:8" s="138" customFormat="1" ht="15.75" hidden="1">
      <c r="A439" s="160" t="s">
        <v>0</v>
      </c>
      <c r="B439" s="133" t="s">
        <v>0</v>
      </c>
      <c r="C439" s="133" t="s">
        <v>293</v>
      </c>
      <c r="D439" s="193" t="s">
        <v>0</v>
      </c>
      <c r="E439" s="134"/>
      <c r="F439" s="135"/>
      <c r="G439" s="139">
        <f>ROUND(SUM(G440),5)</f>
        <v>22887.3222</v>
      </c>
      <c r="H439" s="140"/>
    </row>
    <row r="440" spans="1:8" s="138" customFormat="1" ht="15" hidden="1">
      <c r="A440" s="160" t="s">
        <v>0</v>
      </c>
      <c r="B440" s="133" t="s">
        <v>0</v>
      </c>
      <c r="C440" s="133" t="s">
        <v>474</v>
      </c>
      <c r="D440" s="193" t="s">
        <v>10</v>
      </c>
      <c r="E440" s="134">
        <f>0.018</f>
        <v>0.018</v>
      </c>
      <c r="F440" s="135">
        <f>'Gia NC,CM'!P32</f>
        <v>1271517.9</v>
      </c>
      <c r="G440" s="136">
        <f>ROUND(E440*F440,5)</f>
        <v>22887.3222</v>
      </c>
      <c r="H440" s="137"/>
    </row>
    <row r="441" spans="1:8" s="138" customFormat="1" ht="15" hidden="1">
      <c r="A441" s="160" t="s">
        <v>0</v>
      </c>
      <c r="B441" s="133" t="s">
        <v>0</v>
      </c>
      <c r="C441" s="133" t="s">
        <v>0</v>
      </c>
      <c r="D441" s="193" t="s">
        <v>0</v>
      </c>
      <c r="E441" s="134"/>
      <c r="F441" s="135"/>
      <c r="G441" s="136"/>
      <c r="H441" s="137"/>
    </row>
    <row r="442" spans="1:8" s="138" customFormat="1" ht="15" hidden="1">
      <c r="A442" s="160" t="s">
        <v>523</v>
      </c>
      <c r="B442" s="133" t="s">
        <v>524</v>
      </c>
      <c r="C442" s="133" t="s">
        <v>520</v>
      </c>
      <c r="D442" s="193" t="s">
        <v>472</v>
      </c>
      <c r="E442" s="134"/>
      <c r="F442" s="135"/>
      <c r="G442" s="136"/>
      <c r="H442" s="137"/>
    </row>
    <row r="443" spans="1:8" s="138" customFormat="1" ht="15.75" hidden="1">
      <c r="A443" s="160" t="s">
        <v>0</v>
      </c>
      <c r="B443" s="133" t="s">
        <v>0</v>
      </c>
      <c r="C443" s="133" t="s">
        <v>293</v>
      </c>
      <c r="D443" s="193" t="s">
        <v>0</v>
      </c>
      <c r="E443" s="134"/>
      <c r="F443" s="135"/>
      <c r="G443" s="139">
        <f>ROUND(SUM(G444),5)</f>
        <v>13986.6969</v>
      </c>
      <c r="H443" s="140"/>
    </row>
    <row r="444" spans="1:8" s="138" customFormat="1" ht="15" hidden="1">
      <c r="A444" s="160" t="s">
        <v>0</v>
      </c>
      <c r="B444" s="133" t="s">
        <v>0</v>
      </c>
      <c r="C444" s="133" t="s">
        <v>474</v>
      </c>
      <c r="D444" s="193" t="s">
        <v>10</v>
      </c>
      <c r="E444" s="134">
        <f>0.011</f>
        <v>0.011</v>
      </c>
      <c r="F444" s="135">
        <f>'Gia NC,CM'!P32</f>
        <v>1271517.9</v>
      </c>
      <c r="G444" s="136">
        <f>ROUND(E444*F444,5)</f>
        <v>13986.6969</v>
      </c>
      <c r="H444" s="137"/>
    </row>
    <row r="445" spans="1:7" s="138" customFormat="1" ht="15" hidden="1">
      <c r="A445" s="347"/>
      <c r="D445" s="141"/>
      <c r="E445" s="142"/>
      <c r="F445" s="143"/>
      <c r="G445" s="143"/>
    </row>
    <row r="446" spans="1:7" s="138" customFormat="1" ht="15" hidden="1">
      <c r="A446" s="160" t="s">
        <v>525</v>
      </c>
      <c r="B446" s="133" t="s">
        <v>470</v>
      </c>
      <c r="C446" s="133" t="s">
        <v>471</v>
      </c>
      <c r="D446" s="193" t="s">
        <v>472</v>
      </c>
      <c r="E446" s="134"/>
      <c r="F446" s="135"/>
      <c r="G446" s="136"/>
    </row>
    <row r="447" spans="1:7" s="138" customFormat="1" ht="15" hidden="1">
      <c r="A447" s="160" t="s">
        <v>0</v>
      </c>
      <c r="B447" s="133" t="s">
        <v>0</v>
      </c>
      <c r="C447" s="133" t="s">
        <v>473</v>
      </c>
      <c r="D447" s="193" t="s">
        <v>0</v>
      </c>
      <c r="E447" s="134"/>
      <c r="F447" s="135"/>
      <c r="G447" s="136"/>
    </row>
    <row r="448" spans="1:7" s="138" customFormat="1" ht="15.75" hidden="1">
      <c r="A448" s="160" t="s">
        <v>0</v>
      </c>
      <c r="B448" s="133" t="s">
        <v>0</v>
      </c>
      <c r="C448" s="133" t="s">
        <v>293</v>
      </c>
      <c r="D448" s="193" t="s">
        <v>0</v>
      </c>
      <c r="E448" s="134"/>
      <c r="F448" s="135"/>
      <c r="G448" s="139">
        <f>ROUND(SUM(G449),5)</f>
        <v>137323.9332</v>
      </c>
    </row>
    <row r="449" spans="1:7" s="138" customFormat="1" ht="15" hidden="1">
      <c r="A449" s="160" t="s">
        <v>0</v>
      </c>
      <c r="B449" s="133" t="s">
        <v>0</v>
      </c>
      <c r="C449" s="133" t="s">
        <v>474</v>
      </c>
      <c r="D449" s="193" t="s">
        <v>10</v>
      </c>
      <c r="E449" s="134">
        <f>0.108</f>
        <v>0.108</v>
      </c>
      <c r="F449" s="135">
        <f>'Gia NC,CM'!P32</f>
        <v>1271517.9</v>
      </c>
      <c r="G449" s="136">
        <f>ROUND(E449*F449,5)</f>
        <v>137323.9332</v>
      </c>
    </row>
    <row r="450" spans="1:7" s="138" customFormat="1" ht="15" hidden="1">
      <c r="A450" s="160" t="s">
        <v>0</v>
      </c>
      <c r="B450" s="133" t="s">
        <v>0</v>
      </c>
      <c r="C450" s="133" t="s">
        <v>0</v>
      </c>
      <c r="D450" s="193" t="s">
        <v>0</v>
      </c>
      <c r="E450" s="134"/>
      <c r="F450" s="135"/>
      <c r="G450" s="136"/>
    </row>
    <row r="451" spans="1:7" s="138" customFormat="1" ht="15" hidden="1">
      <c r="A451" s="160" t="s">
        <v>526</v>
      </c>
      <c r="B451" s="133" t="s">
        <v>476</v>
      </c>
      <c r="C451" s="133" t="s">
        <v>471</v>
      </c>
      <c r="D451" s="193" t="s">
        <v>472</v>
      </c>
      <c r="E451" s="134"/>
      <c r="F451" s="135"/>
      <c r="G451" s="136"/>
    </row>
    <row r="452" spans="1:7" s="138" customFormat="1" ht="15" hidden="1">
      <c r="A452" s="160" t="s">
        <v>0</v>
      </c>
      <c r="B452" s="133" t="s">
        <v>0</v>
      </c>
      <c r="C452" s="133" t="s">
        <v>477</v>
      </c>
      <c r="D452" s="193" t="s">
        <v>0</v>
      </c>
      <c r="E452" s="134"/>
      <c r="F452" s="135"/>
      <c r="G452" s="136"/>
    </row>
    <row r="453" spans="1:7" s="138" customFormat="1" ht="15.75" hidden="1">
      <c r="A453" s="160" t="s">
        <v>0</v>
      </c>
      <c r="B453" s="133" t="s">
        <v>0</v>
      </c>
      <c r="C453" s="133" t="s">
        <v>293</v>
      </c>
      <c r="D453" s="193" t="s">
        <v>0</v>
      </c>
      <c r="E453" s="134"/>
      <c r="F453" s="135"/>
      <c r="G453" s="139">
        <f>ROUND(SUM(G454),5)</f>
        <v>99178.3962</v>
      </c>
    </row>
    <row r="454" spans="1:7" s="138" customFormat="1" ht="15" hidden="1">
      <c r="A454" s="160" t="s">
        <v>0</v>
      </c>
      <c r="B454" s="133" t="s">
        <v>0</v>
      </c>
      <c r="C454" s="133" t="s">
        <v>474</v>
      </c>
      <c r="D454" s="193" t="s">
        <v>10</v>
      </c>
      <c r="E454" s="134">
        <f>0.078</f>
        <v>0.078</v>
      </c>
      <c r="F454" s="135">
        <f>'Gia NC,CM'!P32</f>
        <v>1271517.9</v>
      </c>
      <c r="G454" s="136">
        <f>ROUND(E454*F454,5)</f>
        <v>99178.3962</v>
      </c>
    </row>
    <row r="455" spans="1:7" s="138" customFormat="1" ht="15" hidden="1">
      <c r="A455" s="160" t="s">
        <v>0</v>
      </c>
      <c r="B455" s="133" t="s">
        <v>0</v>
      </c>
      <c r="C455" s="133" t="s">
        <v>0</v>
      </c>
      <c r="D455" s="193" t="s">
        <v>0</v>
      </c>
      <c r="E455" s="134"/>
      <c r="F455" s="135"/>
      <c r="G455" s="136"/>
    </row>
    <row r="456" spans="1:7" s="138" customFormat="1" ht="15" hidden="1">
      <c r="A456" s="160" t="s">
        <v>527</v>
      </c>
      <c r="B456" s="133" t="s">
        <v>479</v>
      </c>
      <c r="C456" s="133" t="s">
        <v>471</v>
      </c>
      <c r="D456" s="193" t="s">
        <v>472</v>
      </c>
      <c r="E456" s="134"/>
      <c r="F456" s="135"/>
      <c r="G456" s="136"/>
    </row>
    <row r="457" spans="1:7" s="138" customFormat="1" ht="15.75" hidden="1">
      <c r="A457" s="160" t="s">
        <v>0</v>
      </c>
      <c r="B457" s="133" t="s">
        <v>0</v>
      </c>
      <c r="C457" s="133" t="s">
        <v>293</v>
      </c>
      <c r="D457" s="193" t="s">
        <v>0</v>
      </c>
      <c r="E457" s="134"/>
      <c r="F457" s="135"/>
      <c r="G457" s="139">
        <f>ROUND(SUM(G458),5)</f>
        <v>67390.4487</v>
      </c>
    </row>
    <row r="458" spans="1:7" s="138" customFormat="1" ht="15" hidden="1">
      <c r="A458" s="160" t="s">
        <v>0</v>
      </c>
      <c r="B458" s="133" t="s">
        <v>0</v>
      </c>
      <c r="C458" s="133" t="s">
        <v>474</v>
      </c>
      <c r="D458" s="193" t="s">
        <v>10</v>
      </c>
      <c r="E458" s="134">
        <f>0.053</f>
        <v>0.053</v>
      </c>
      <c r="F458" s="135">
        <f>'Gia NC,CM'!P32</f>
        <v>1271517.9</v>
      </c>
      <c r="G458" s="136">
        <f>ROUND(E458*F458,5)</f>
        <v>67390.4487</v>
      </c>
    </row>
    <row r="459" spans="1:7" s="138" customFormat="1" ht="15" hidden="1">
      <c r="A459" s="348"/>
      <c r="B459" s="156"/>
      <c r="C459" s="156"/>
      <c r="D459" s="194"/>
      <c r="E459" s="157"/>
      <c r="F459" s="158"/>
      <c r="G459" s="159"/>
    </row>
    <row r="460" spans="1:7" ht="15" hidden="1">
      <c r="A460" s="160">
        <v>61</v>
      </c>
      <c r="B460" s="11" t="s">
        <v>538</v>
      </c>
      <c r="C460" s="11" t="s">
        <v>539</v>
      </c>
      <c r="D460" s="20" t="s">
        <v>472</v>
      </c>
      <c r="E460" s="42"/>
      <c r="F460" s="43"/>
      <c r="G460" s="44"/>
    </row>
    <row r="461" spans="1:7" ht="15" hidden="1">
      <c r="A461" s="160" t="s">
        <v>0</v>
      </c>
      <c r="B461" s="11" t="s">
        <v>0</v>
      </c>
      <c r="C461" s="11" t="s">
        <v>473</v>
      </c>
      <c r="D461" s="20" t="s">
        <v>0</v>
      </c>
      <c r="E461" s="42"/>
      <c r="F461" s="43"/>
      <c r="G461" s="44"/>
    </row>
    <row r="462" spans="1:7" ht="15.75" hidden="1">
      <c r="A462" s="160" t="s">
        <v>0</v>
      </c>
      <c r="B462" s="11" t="s">
        <v>0</v>
      </c>
      <c r="C462" s="11" t="s">
        <v>293</v>
      </c>
      <c r="D462" s="20" t="s">
        <v>0</v>
      </c>
      <c r="E462" s="42"/>
      <c r="F462" s="43"/>
      <c r="G462" s="45">
        <f>ROUND(SUM(G463),5)</f>
        <v>33059.4654</v>
      </c>
    </row>
    <row r="463" spans="1:7" ht="15" hidden="1">
      <c r="A463" s="160" t="s">
        <v>0</v>
      </c>
      <c r="B463" s="11" t="s">
        <v>0</v>
      </c>
      <c r="C463" s="11" t="s">
        <v>474</v>
      </c>
      <c r="D463" s="20" t="s">
        <v>10</v>
      </c>
      <c r="E463" s="42">
        <f>0.026</f>
        <v>0.026</v>
      </c>
      <c r="F463" s="43">
        <f>'Gia NC,CM'!P32</f>
        <v>1271517.9</v>
      </c>
      <c r="G463" s="44">
        <f>ROUND(E463*F463,5)</f>
        <v>33059.4654</v>
      </c>
    </row>
    <row r="464" spans="1:7" ht="15" hidden="1">
      <c r="A464" s="160" t="s">
        <v>0</v>
      </c>
      <c r="B464" s="11" t="s">
        <v>0</v>
      </c>
      <c r="C464" s="11" t="s">
        <v>0</v>
      </c>
      <c r="D464" s="20" t="s">
        <v>0</v>
      </c>
      <c r="E464" s="42"/>
      <c r="F464" s="43"/>
      <c r="G464" s="44"/>
    </row>
    <row r="465" spans="1:7" ht="15" hidden="1">
      <c r="A465" s="160">
        <v>62</v>
      </c>
      <c r="B465" s="11" t="s">
        <v>540</v>
      </c>
      <c r="C465" s="11" t="s">
        <v>539</v>
      </c>
      <c r="D465" s="20" t="s">
        <v>472</v>
      </c>
      <c r="E465" s="42"/>
      <c r="F465" s="43"/>
      <c r="G465" s="44"/>
    </row>
    <row r="466" spans="1:7" ht="15.75" hidden="1">
      <c r="A466" s="160" t="s">
        <v>0</v>
      </c>
      <c r="B466" s="11" t="s">
        <v>0</v>
      </c>
      <c r="C466" s="11" t="s">
        <v>293</v>
      </c>
      <c r="D466" s="20" t="s">
        <v>0</v>
      </c>
      <c r="E466" s="42"/>
      <c r="F466" s="43"/>
      <c r="G466" s="45">
        <f>ROUND(SUM(G467:G467),5)</f>
        <v>26701.8759</v>
      </c>
    </row>
    <row r="467" spans="1:7" ht="15" hidden="1">
      <c r="A467" s="344" t="s">
        <v>0</v>
      </c>
      <c r="B467" s="11" t="s">
        <v>0</v>
      </c>
      <c r="C467" s="11" t="s">
        <v>474</v>
      </c>
      <c r="D467" s="20" t="s">
        <v>10</v>
      </c>
      <c r="E467" s="42">
        <f>0.021</f>
        <v>0.021</v>
      </c>
      <c r="F467" s="43">
        <f>'Gia NC,CM'!P32</f>
        <v>1271517.9</v>
      </c>
      <c r="G467" s="44">
        <f>ROUND(E467*F467,5)</f>
        <v>26701.8759</v>
      </c>
    </row>
    <row r="468" spans="1:7" s="138" customFormat="1" ht="15" hidden="1">
      <c r="A468" s="348"/>
      <c r="B468" s="156"/>
      <c r="C468" s="156"/>
      <c r="D468" s="194"/>
      <c r="E468" s="157"/>
      <c r="F468" s="158"/>
      <c r="G468" s="159"/>
    </row>
    <row r="469" spans="1:7" ht="15" hidden="1">
      <c r="A469" s="344" t="s">
        <v>478</v>
      </c>
      <c r="B469" s="11" t="s">
        <v>541</v>
      </c>
      <c r="C469" s="11" t="s">
        <v>542</v>
      </c>
      <c r="D469" s="20" t="s">
        <v>543</v>
      </c>
      <c r="E469" s="42"/>
      <c r="F469" s="43"/>
      <c r="G469" s="44"/>
    </row>
    <row r="470" spans="1:7" ht="15" hidden="1">
      <c r="A470" s="344" t="s">
        <v>0</v>
      </c>
      <c r="B470" s="11" t="s">
        <v>0</v>
      </c>
      <c r="C470" s="11" t="s">
        <v>544</v>
      </c>
      <c r="D470" s="20" t="s">
        <v>0</v>
      </c>
      <c r="E470" s="42"/>
      <c r="F470" s="43"/>
      <c r="G470" s="44"/>
    </row>
    <row r="471" spans="1:7" ht="15.75" hidden="1">
      <c r="A471" s="344" t="s">
        <v>0</v>
      </c>
      <c r="B471" s="11" t="s">
        <v>0</v>
      </c>
      <c r="C471" s="11" t="s">
        <v>294</v>
      </c>
      <c r="D471" s="20" t="s">
        <v>0</v>
      </c>
      <c r="E471" s="42"/>
      <c r="F471" s="43"/>
      <c r="G471" s="45">
        <f>ROUND(SUM(G472:G472),5)</f>
        <v>10927.96</v>
      </c>
    </row>
    <row r="472" spans="1:7" ht="15" hidden="1">
      <c r="A472" s="344" t="s">
        <v>0</v>
      </c>
      <c r="B472" s="11" t="s">
        <v>0</v>
      </c>
      <c r="C472" s="11" t="s">
        <v>7</v>
      </c>
      <c r="D472" s="20" t="s">
        <v>8</v>
      </c>
      <c r="E472" s="42">
        <f>0.05</f>
        <v>0.05</v>
      </c>
      <c r="F472" s="43">
        <f>'Gia NC,CM'!P8</f>
        <v>218559.2</v>
      </c>
      <c r="G472" s="44">
        <f>ROUND(E472*F472,5)</f>
        <v>10927.96</v>
      </c>
    </row>
    <row r="473" spans="1:7" ht="15.75" hidden="1">
      <c r="A473" s="344" t="s">
        <v>0</v>
      </c>
      <c r="B473" s="11" t="s">
        <v>0</v>
      </c>
      <c r="C473" s="11" t="s">
        <v>293</v>
      </c>
      <c r="D473" s="20" t="s">
        <v>0</v>
      </c>
      <c r="E473" s="42"/>
      <c r="F473" s="43"/>
      <c r="G473" s="45">
        <f>ROUND(SUM(G474),5)</f>
        <v>25411.6928</v>
      </c>
    </row>
    <row r="474" spans="1:7" ht="15" hidden="1">
      <c r="A474" s="344" t="s">
        <v>0</v>
      </c>
      <c r="B474" s="11" t="s">
        <v>0</v>
      </c>
      <c r="C474" s="11" t="s">
        <v>87</v>
      </c>
      <c r="D474" s="20" t="s">
        <v>10</v>
      </c>
      <c r="E474" s="42">
        <f>0.016</f>
        <v>0.016</v>
      </c>
      <c r="F474" s="43">
        <f>'Gia NC,CM'!P14</f>
        <v>1588230.8</v>
      </c>
      <c r="G474" s="44">
        <f>ROUND(E474*F474,5)</f>
        <v>25411.6928</v>
      </c>
    </row>
    <row r="475" spans="1:7" s="138" customFormat="1" ht="15" hidden="1">
      <c r="A475" s="348"/>
      <c r="B475" s="156"/>
      <c r="C475" s="156"/>
      <c r="D475" s="194"/>
      <c r="E475" s="157"/>
      <c r="F475" s="158"/>
      <c r="G475" s="159"/>
    </row>
    <row r="476" spans="1:7" s="165" customFormat="1" ht="15.75" hidden="1">
      <c r="A476" s="349">
        <f>IF(B476="","",COUNTA(B$7:$B476))</f>
        <v>461</v>
      </c>
      <c r="B476" s="161" t="s">
        <v>547</v>
      </c>
      <c r="C476" s="161" t="s">
        <v>548</v>
      </c>
      <c r="D476" s="195" t="s">
        <v>549</v>
      </c>
      <c r="E476" s="162"/>
      <c r="F476" s="163"/>
      <c r="G476" s="164"/>
    </row>
    <row r="477" spans="1:7" s="165" customFormat="1" ht="15.75" hidden="1">
      <c r="A477" s="349">
        <f>IF(B477="","",COUNTA(B$7:$B477))</f>
      </c>
      <c r="B477" s="161"/>
      <c r="C477" s="161" t="s">
        <v>550</v>
      </c>
      <c r="D477" s="195" t="s">
        <v>0</v>
      </c>
      <c r="E477" s="162"/>
      <c r="F477" s="163"/>
      <c r="G477" s="164"/>
    </row>
    <row r="478" spans="1:7" s="165" customFormat="1" ht="15.75" hidden="1">
      <c r="A478" s="349">
        <f>IF(B478="","",COUNTA(B$7:$B478))</f>
      </c>
      <c r="B478" s="161"/>
      <c r="C478" s="161" t="s">
        <v>551</v>
      </c>
      <c r="D478" s="195" t="s">
        <v>0</v>
      </c>
      <c r="E478" s="162"/>
      <c r="F478" s="163"/>
      <c r="G478" s="166">
        <f>ROUND(SUM(G479),5)</f>
        <v>45897.432</v>
      </c>
    </row>
    <row r="479" spans="1:7" s="165" customFormat="1" ht="15.75" hidden="1">
      <c r="A479" s="349">
        <f>IF(B479="","",COUNTA(B$7:$B479))</f>
      </c>
      <c r="B479" s="161"/>
      <c r="C479" s="161" t="s">
        <v>552</v>
      </c>
      <c r="D479" s="195" t="s">
        <v>553</v>
      </c>
      <c r="E479" s="162">
        <f>0.21</f>
        <v>0.21</v>
      </c>
      <c r="F479" s="163">
        <f>'[1]Gia NC,CM'!$P$8</f>
        <v>218559.2</v>
      </c>
      <c r="G479" s="164">
        <f>ROUND(E479*F479,5)</f>
        <v>45897.432</v>
      </c>
    </row>
    <row r="480" spans="1:7" s="165" customFormat="1" ht="15.75" hidden="1">
      <c r="A480" s="349"/>
      <c r="B480" s="161"/>
      <c r="C480" s="161"/>
      <c r="D480" s="195"/>
      <c r="E480" s="162"/>
      <c r="F480" s="163"/>
      <c r="G480" s="164"/>
    </row>
    <row r="481" spans="1:7" s="165" customFormat="1" ht="15.75" hidden="1">
      <c r="A481" s="349">
        <f>IF(B481="","",COUNTA(B$7:$B481))</f>
        <v>462</v>
      </c>
      <c r="B481" s="161" t="s">
        <v>554</v>
      </c>
      <c r="C481" s="161" t="s">
        <v>548</v>
      </c>
      <c r="D481" s="195" t="s">
        <v>25</v>
      </c>
      <c r="E481" s="162"/>
      <c r="F481" s="163"/>
      <c r="G481" s="164"/>
    </row>
    <row r="482" spans="1:7" s="165" customFormat="1" ht="15.75" hidden="1">
      <c r="A482" s="349">
        <f>IF(B482="","",COUNTA(B$7:$B482))</f>
      </c>
      <c r="B482" s="161"/>
      <c r="C482" s="161" t="s">
        <v>555</v>
      </c>
      <c r="D482" s="195" t="s">
        <v>0</v>
      </c>
      <c r="E482" s="162"/>
      <c r="F482" s="163"/>
      <c r="G482" s="164"/>
    </row>
    <row r="483" spans="1:7" s="165" customFormat="1" ht="15.75" hidden="1">
      <c r="A483" s="349">
        <f>IF(B483="","",COUNTA(B$7:$B483))</f>
      </c>
      <c r="B483" s="161"/>
      <c r="C483" s="161" t="s">
        <v>551</v>
      </c>
      <c r="D483" s="195" t="s">
        <v>0</v>
      </c>
      <c r="E483" s="162"/>
      <c r="F483" s="163"/>
      <c r="G483" s="166">
        <f>ROUND(SUM(G484),5)</f>
        <v>19670.328</v>
      </c>
    </row>
    <row r="484" spans="1:7" s="165" customFormat="1" ht="15.75" hidden="1">
      <c r="A484" s="349">
        <f>IF(B484="","",COUNTA(B$7:$B484))</f>
      </c>
      <c r="B484" s="161"/>
      <c r="C484" s="161" t="s">
        <v>552</v>
      </c>
      <c r="D484" s="195" t="s">
        <v>553</v>
      </c>
      <c r="E484" s="162">
        <f>0.09</f>
        <v>0.09</v>
      </c>
      <c r="F484" s="163">
        <f>'[1]Gia NC,CM'!$P$8</f>
        <v>218559.2</v>
      </c>
      <c r="G484" s="164">
        <f>ROUND(E484*F484,5)</f>
        <v>19670.328</v>
      </c>
    </row>
    <row r="485" spans="1:7" s="138" customFormat="1" ht="15" hidden="1">
      <c r="A485" s="348"/>
      <c r="B485" s="156"/>
      <c r="C485" s="156"/>
      <c r="D485" s="194"/>
      <c r="E485" s="157"/>
      <c r="F485" s="158"/>
      <c r="G485" s="159"/>
    </row>
    <row r="486" spans="1:7" s="165" customFormat="1" ht="15.75" hidden="1">
      <c r="A486" s="349">
        <f>IF(B486="","",COUNTA(B$7:$B486))</f>
        <v>463</v>
      </c>
      <c r="B486" s="161" t="s">
        <v>562</v>
      </c>
      <c r="C486" s="161" t="s">
        <v>556</v>
      </c>
      <c r="D486" s="195" t="s">
        <v>557</v>
      </c>
      <c r="E486" s="162"/>
      <c r="F486" s="163"/>
      <c r="G486" s="164"/>
    </row>
    <row r="487" spans="1:7" s="165" customFormat="1" ht="15.75" hidden="1">
      <c r="A487" s="349">
        <f>IF(B487="","",COUNTA(B$7:$B487))</f>
      </c>
      <c r="B487" s="161"/>
      <c r="C487" s="161" t="s">
        <v>558</v>
      </c>
      <c r="D487" s="195" t="s">
        <v>0</v>
      </c>
      <c r="E487" s="162"/>
      <c r="F487" s="163"/>
      <c r="G487" s="164"/>
    </row>
    <row r="488" spans="1:7" s="165" customFormat="1" ht="15.75" hidden="1">
      <c r="A488" s="349">
        <f>IF(B488="","",COUNTA(B$7:$B488))</f>
      </c>
      <c r="B488" s="161"/>
      <c r="C488" s="161" t="s">
        <v>559</v>
      </c>
      <c r="D488" s="195" t="s">
        <v>0</v>
      </c>
      <c r="E488" s="162"/>
      <c r="F488" s="163"/>
      <c r="G488" s="166">
        <f>ROUND(SUM(G489),5)</f>
        <v>39417.0549</v>
      </c>
    </row>
    <row r="489" spans="1:7" s="165" customFormat="1" ht="15.75" hidden="1">
      <c r="A489" s="349">
        <f>IF(B489="","",COUNTA(B$7:$B489))</f>
      </c>
      <c r="B489" s="161"/>
      <c r="C489" s="167" t="s">
        <v>561</v>
      </c>
      <c r="D489" s="195" t="s">
        <v>10</v>
      </c>
      <c r="E489" s="168">
        <f>0.031</f>
        <v>0.031</v>
      </c>
      <c r="F489" s="163">
        <f>'Gia NC,CM'!P32</f>
        <v>1271517.9</v>
      </c>
      <c r="G489" s="164">
        <f>ROUND(E489*F489,5)</f>
        <v>39417.0549</v>
      </c>
    </row>
    <row r="490" spans="1:7" s="165" customFormat="1" ht="15.75" hidden="1">
      <c r="A490" s="349">
        <f>IF(B490="","",COUNTA(B$7:$B490))</f>
      </c>
      <c r="B490" s="161"/>
      <c r="C490" s="161" t="s">
        <v>0</v>
      </c>
      <c r="D490" s="195" t="s">
        <v>0</v>
      </c>
      <c r="E490" s="168"/>
      <c r="F490" s="163"/>
      <c r="G490" s="164"/>
    </row>
    <row r="491" spans="1:7" s="165" customFormat="1" ht="15.75" hidden="1">
      <c r="A491" s="349">
        <f>IF(B491="","",COUNTA(B$7:$B491))</f>
        <v>464</v>
      </c>
      <c r="B491" s="161" t="s">
        <v>563</v>
      </c>
      <c r="C491" s="161" t="s">
        <v>556</v>
      </c>
      <c r="D491" s="195" t="s">
        <v>557</v>
      </c>
      <c r="E491" s="168"/>
      <c r="F491" s="163"/>
      <c r="G491" s="164"/>
    </row>
    <row r="492" spans="1:7" s="165" customFormat="1" ht="15.75" hidden="1">
      <c r="A492" s="349">
        <f>IF(B492="","",COUNTA(B$7:$B492))</f>
      </c>
      <c r="B492" s="161"/>
      <c r="C492" s="161" t="s">
        <v>560</v>
      </c>
      <c r="D492" s="195" t="s">
        <v>0</v>
      </c>
      <c r="E492" s="168"/>
      <c r="F492" s="163"/>
      <c r="G492" s="164"/>
    </row>
    <row r="493" spans="1:7" s="165" customFormat="1" ht="15.75" hidden="1">
      <c r="A493" s="349">
        <f>IF(B493="","",COUNTA(B$7:$B493))</f>
      </c>
      <c r="B493" s="161"/>
      <c r="C493" s="161" t="s">
        <v>559</v>
      </c>
      <c r="D493" s="195" t="s">
        <v>0</v>
      </c>
      <c r="E493" s="168"/>
      <c r="F493" s="163"/>
      <c r="G493" s="166">
        <f>ROUND(SUM(G494),5)</f>
        <v>29244.9117</v>
      </c>
    </row>
    <row r="494" spans="1:7" s="165" customFormat="1" ht="15.75" hidden="1">
      <c r="A494" s="349">
        <f>IF(B494="","",COUNTA(B$7:$B494))</f>
      </c>
      <c r="B494" s="161"/>
      <c r="C494" s="167" t="s">
        <v>561</v>
      </c>
      <c r="D494" s="195" t="s">
        <v>10</v>
      </c>
      <c r="E494" s="168">
        <f>0.023</f>
        <v>0.023</v>
      </c>
      <c r="F494" s="163">
        <f>'Gia NC,CM'!P32</f>
        <v>1271517.9</v>
      </c>
      <c r="G494" s="164">
        <f>ROUND(E494*F494,5)</f>
        <v>29244.9117</v>
      </c>
    </row>
    <row r="495" spans="1:7" s="165" customFormat="1" ht="15.75" hidden="1">
      <c r="A495" s="349">
        <f>IF(B495="","",COUNTA(B$7:$B495))</f>
      </c>
      <c r="B495" s="161"/>
      <c r="C495" s="161" t="s">
        <v>0</v>
      </c>
      <c r="D495" s="195" t="s">
        <v>0</v>
      </c>
      <c r="E495" s="162"/>
      <c r="F495" s="163"/>
      <c r="G495" s="164"/>
    </row>
    <row r="496" spans="1:7" s="165" customFormat="1" ht="15.75" hidden="1">
      <c r="A496" s="349">
        <f>IF(B496="","",COUNTA(B$7:$B496))</f>
        <v>465</v>
      </c>
      <c r="B496" s="161" t="s">
        <v>607</v>
      </c>
      <c r="C496" s="161" t="s">
        <v>604</v>
      </c>
      <c r="D496" s="161" t="s">
        <v>605</v>
      </c>
      <c r="E496" s="162"/>
      <c r="F496" s="163"/>
      <c r="G496" s="164"/>
    </row>
    <row r="497" spans="1:7" s="165" customFormat="1" ht="15.75" hidden="1">
      <c r="A497" s="349">
        <f>IF(B497="","",COUNTA(B$7:$B497))</f>
      </c>
      <c r="B497" s="161"/>
      <c r="C497" s="161" t="s">
        <v>608</v>
      </c>
      <c r="D497" s="161" t="s">
        <v>0</v>
      </c>
      <c r="E497" s="162"/>
      <c r="F497" s="163"/>
      <c r="G497" s="164"/>
    </row>
    <row r="498" spans="1:7" s="165" customFormat="1" ht="15.75" hidden="1">
      <c r="A498" s="349">
        <f>IF(B498="","",COUNTA(B$7:$B498))</f>
      </c>
      <c r="B498" s="161"/>
      <c r="C498" s="161" t="s">
        <v>551</v>
      </c>
      <c r="D498" s="161" t="s">
        <v>0</v>
      </c>
      <c r="E498" s="162"/>
      <c r="F498" s="163"/>
      <c r="G498" s="166">
        <f>ROUND(SUM(G499:G499),5)</f>
        <v>13113.552</v>
      </c>
    </row>
    <row r="499" spans="1:7" s="165" customFormat="1" ht="15.75" hidden="1">
      <c r="A499" s="349">
        <f>IF(B499="","",COUNTA(B$7:$B499))</f>
      </c>
      <c r="B499" s="161"/>
      <c r="C499" s="161" t="s">
        <v>552</v>
      </c>
      <c r="D499" s="161" t="s">
        <v>553</v>
      </c>
      <c r="E499" s="162">
        <f>0.06</f>
        <v>0.06</v>
      </c>
      <c r="F499" s="163">
        <f>'Gia NC,CM'!P8</f>
        <v>218559.2</v>
      </c>
      <c r="G499" s="164">
        <f>ROUND(E499*F499,5)</f>
        <v>13113.552</v>
      </c>
    </row>
    <row r="500" spans="1:7" s="165" customFormat="1" ht="15.75" hidden="1">
      <c r="A500" s="349">
        <f>IF(B500="","",COUNTA(B$7:$B500))</f>
      </c>
      <c r="B500" s="161"/>
      <c r="C500" s="161" t="s">
        <v>559</v>
      </c>
      <c r="D500" s="161" t="s">
        <v>0</v>
      </c>
      <c r="E500" s="162"/>
      <c r="F500" s="163"/>
      <c r="G500" s="166">
        <f>ROUND(SUM(G501),5)</f>
        <v>31764.616</v>
      </c>
    </row>
    <row r="501" spans="1:7" s="165" customFormat="1" ht="15.75" hidden="1">
      <c r="A501" s="349">
        <f>IF(B501="","",COUNTA(B$7:$B501))</f>
      </c>
      <c r="B501" s="161"/>
      <c r="C501" s="161" t="s">
        <v>606</v>
      </c>
      <c r="D501" s="161" t="s">
        <v>10</v>
      </c>
      <c r="E501" s="162">
        <f>0.02</f>
        <v>0.02</v>
      </c>
      <c r="F501" s="163">
        <f>'Gia NC,CM'!P14</f>
        <v>1588230.8</v>
      </c>
      <c r="G501" s="164">
        <f>ROUND(E501*F501,5)</f>
        <v>31764.616</v>
      </c>
    </row>
  </sheetData>
  <sheetProtection/>
  <mergeCells count="3">
    <mergeCell ref="A1:G1"/>
    <mergeCell ref="A3:G3"/>
    <mergeCell ref="A4:G4"/>
  </mergeCells>
  <printOptions horizontalCentered="1"/>
  <pageMargins left="0.6" right="0.28" top="0.75" bottom="0.62" header="0.5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zoomScalePageLayoutView="0" workbookViewId="0" topLeftCell="B1">
      <selection activeCell="I24" sqref="I24"/>
    </sheetView>
  </sheetViews>
  <sheetFormatPr defaultColWidth="8.796875" defaultRowHeight="15"/>
  <cols>
    <col min="1" max="1" width="7.59765625" style="57" customWidth="1"/>
    <col min="2" max="2" width="19.09765625" style="57" customWidth="1"/>
    <col min="3" max="3" width="4.09765625" style="351" customWidth="1"/>
    <col min="4" max="4" width="4.09765625" style="58" customWidth="1"/>
    <col min="5" max="5" width="4.59765625" style="59" customWidth="1"/>
    <col min="6" max="7" width="4.09765625" style="59" customWidth="1"/>
    <col min="8" max="8" width="9.3984375" style="57" customWidth="1"/>
    <col min="9" max="9" width="11.59765625" style="57" customWidth="1"/>
    <col min="10" max="10" width="8.69921875" style="60" customWidth="1"/>
    <col min="11" max="15" width="8.59765625" style="60" customWidth="1"/>
    <col min="16" max="16" width="9.09765625" style="60" customWidth="1"/>
    <col min="17" max="16384" width="9" style="57" customWidth="1"/>
  </cols>
  <sheetData>
    <row r="1" spans="1:16" ht="22.5" customHeight="1">
      <c r="A1" s="423" t="s">
        <v>409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2.75">
      <c r="A2" s="79"/>
      <c r="B2" s="79"/>
      <c r="C2" s="352"/>
      <c r="D2" s="80"/>
      <c r="E2" s="81"/>
      <c r="F2" s="81"/>
      <c r="G2" s="81"/>
      <c r="H2" s="79"/>
      <c r="I2" s="79"/>
      <c r="J2" s="82"/>
      <c r="K2" s="82"/>
      <c r="L2" s="82"/>
      <c r="M2" s="82"/>
      <c r="N2" s="82"/>
      <c r="O2" s="82"/>
      <c r="P2" s="82"/>
    </row>
    <row r="3" spans="1:16" s="26" customFormat="1" ht="20.25" customHeight="1">
      <c r="A3" s="422" t="s">
        <v>566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s="26" customFormat="1" ht="20.25" customHeight="1">
      <c r="A4" s="422" t="s">
        <v>586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s="26" customFormat="1" ht="20.25" customHeight="1">
      <c r="A5" s="422" t="s">
        <v>567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1:16" ht="13.5" thickBot="1">
      <c r="A6" s="79"/>
      <c r="B6" s="79"/>
      <c r="C6" s="352"/>
      <c r="D6" s="80"/>
      <c r="E6" s="81"/>
      <c r="F6" s="81"/>
      <c r="G6" s="81"/>
      <c r="H6" s="79"/>
      <c r="I6" s="79"/>
      <c r="J6" s="82"/>
      <c r="K6" s="82"/>
      <c r="L6" s="82"/>
      <c r="M6" s="82"/>
      <c r="N6" s="82"/>
      <c r="O6" s="82"/>
      <c r="P6" s="82"/>
    </row>
    <row r="7" spans="1:16" ht="45" customHeight="1">
      <c r="A7" s="83" t="s">
        <v>410</v>
      </c>
      <c r="B7" s="84" t="s">
        <v>411</v>
      </c>
      <c r="C7" s="353" t="s">
        <v>412</v>
      </c>
      <c r="D7" s="85" t="s">
        <v>413</v>
      </c>
      <c r="E7" s="86" t="s">
        <v>414</v>
      </c>
      <c r="F7" s="86" t="s">
        <v>415</v>
      </c>
      <c r="G7" s="86" t="s">
        <v>416</v>
      </c>
      <c r="H7" s="84" t="s">
        <v>417</v>
      </c>
      <c r="I7" s="84" t="s">
        <v>418</v>
      </c>
      <c r="J7" s="87" t="s">
        <v>419</v>
      </c>
      <c r="K7" s="87" t="s">
        <v>420</v>
      </c>
      <c r="L7" s="87" t="s">
        <v>421</v>
      </c>
      <c r="M7" s="87" t="s">
        <v>422</v>
      </c>
      <c r="N7" s="87" t="s">
        <v>423</v>
      </c>
      <c r="O7" s="87" t="s">
        <v>424</v>
      </c>
      <c r="P7" s="88" t="s">
        <v>425</v>
      </c>
    </row>
    <row r="8" spans="1:16" ht="12.75">
      <c r="A8" s="73" t="s">
        <v>0</v>
      </c>
      <c r="B8" s="74" t="s">
        <v>7</v>
      </c>
      <c r="C8" s="354" t="s">
        <v>8</v>
      </c>
      <c r="D8" s="75">
        <v>0</v>
      </c>
      <c r="E8" s="76">
        <v>0</v>
      </c>
      <c r="F8" s="76">
        <v>0</v>
      </c>
      <c r="G8" s="76">
        <v>0</v>
      </c>
      <c r="H8" s="74" t="s">
        <v>0</v>
      </c>
      <c r="I8" s="74" t="s">
        <v>348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8">
        <f>ROUND(218559.2,1)</f>
        <v>218559.2</v>
      </c>
    </row>
    <row r="9" spans="1:16" ht="12.75">
      <c r="A9" s="61" t="s">
        <v>0</v>
      </c>
      <c r="B9" s="62" t="s">
        <v>70</v>
      </c>
      <c r="C9" s="355" t="s">
        <v>8</v>
      </c>
      <c r="D9" s="63">
        <v>0</v>
      </c>
      <c r="E9" s="64">
        <v>0</v>
      </c>
      <c r="F9" s="64">
        <v>0</v>
      </c>
      <c r="G9" s="64">
        <v>0</v>
      </c>
      <c r="H9" s="62" t="s">
        <v>0</v>
      </c>
      <c r="I9" s="62" t="s">
        <v>347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6">
        <f>ROUND(230630.3,1)</f>
        <v>230630.3</v>
      </c>
    </row>
    <row r="10" spans="1:16" ht="12.75">
      <c r="A10" s="61" t="s">
        <v>0</v>
      </c>
      <c r="B10" s="62" t="s">
        <v>175</v>
      </c>
      <c r="C10" s="355" t="s">
        <v>8</v>
      </c>
      <c r="D10" s="63">
        <v>0</v>
      </c>
      <c r="E10" s="64">
        <v>0</v>
      </c>
      <c r="F10" s="64">
        <v>0</v>
      </c>
      <c r="G10" s="64">
        <v>0</v>
      </c>
      <c r="H10" s="62" t="s">
        <v>0</v>
      </c>
      <c r="I10" s="62" t="s">
        <v>346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6">
        <f>ROUND(239000,1)</f>
        <v>239000</v>
      </c>
    </row>
    <row r="11" spans="1:16" ht="12.75">
      <c r="A11" s="61" t="s">
        <v>0</v>
      </c>
      <c r="B11" s="62" t="s">
        <v>37</v>
      </c>
      <c r="C11" s="355" t="s">
        <v>8</v>
      </c>
      <c r="D11" s="63">
        <v>0</v>
      </c>
      <c r="E11" s="64">
        <v>0</v>
      </c>
      <c r="F11" s="64">
        <v>0</v>
      </c>
      <c r="G11" s="64">
        <v>0</v>
      </c>
      <c r="H11" s="62" t="s">
        <v>0</v>
      </c>
      <c r="I11" s="62" t="s">
        <v>345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6">
        <f>ROUND(252200,1)</f>
        <v>252200</v>
      </c>
    </row>
    <row r="12" spans="1:16" ht="12.75">
      <c r="A12" s="61" t="s">
        <v>0</v>
      </c>
      <c r="B12" s="62" t="s">
        <v>27</v>
      </c>
      <c r="C12" s="355" t="s">
        <v>8</v>
      </c>
      <c r="D12" s="63">
        <v>0</v>
      </c>
      <c r="E12" s="64">
        <v>0</v>
      </c>
      <c r="F12" s="64">
        <v>0</v>
      </c>
      <c r="G12" s="64">
        <v>0</v>
      </c>
      <c r="H12" s="62" t="s">
        <v>0</v>
      </c>
      <c r="I12" s="62" t="s">
        <v>344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6">
        <f>ROUND(273769.7,1)</f>
        <v>273769.7</v>
      </c>
    </row>
    <row r="13" spans="1:16" ht="12.75">
      <c r="A13" s="61" t="s">
        <v>343</v>
      </c>
      <c r="B13" s="62" t="s">
        <v>147</v>
      </c>
      <c r="C13" s="355" t="s">
        <v>10</v>
      </c>
      <c r="D13" s="63">
        <v>250</v>
      </c>
      <c r="E13" s="64">
        <v>9</v>
      </c>
      <c r="F13" s="64">
        <v>4.7</v>
      </c>
      <c r="G13" s="64">
        <v>5</v>
      </c>
      <c r="H13" s="62" t="s">
        <v>342</v>
      </c>
      <c r="I13" s="62" t="s">
        <v>341</v>
      </c>
      <c r="J13" s="65">
        <v>948964</v>
      </c>
      <c r="K13" s="65">
        <f>J13*(1-0.1)*E13/D13*10</f>
        <v>307464.33599999995</v>
      </c>
      <c r="L13" s="65">
        <f aca="true" t="shared" si="0" ref="L13:L33">J13*F13/D13*10</f>
        <v>178405.232</v>
      </c>
      <c r="M13" s="65">
        <f>33*16717*1.03</f>
        <v>568210.83</v>
      </c>
      <c r="N13" s="65">
        <f>(1*227033.9+1*317847.5)*1</f>
        <v>544881.4</v>
      </c>
      <c r="O13" s="65">
        <f aca="true" t="shared" si="1" ref="O13:O33">J13*G13/D13*10</f>
        <v>189792.8</v>
      </c>
      <c r="P13" s="66">
        <f aca="true" t="shared" si="2" ref="P13:P33">ROUND(K13+L13+M13+N13+O13,1)</f>
        <v>1788754.6</v>
      </c>
    </row>
    <row r="14" spans="1:16" ht="12.75">
      <c r="A14" s="61" t="s">
        <v>340</v>
      </c>
      <c r="B14" s="62" t="s">
        <v>87</v>
      </c>
      <c r="C14" s="355" t="s">
        <v>10</v>
      </c>
      <c r="D14" s="63">
        <v>240</v>
      </c>
      <c r="E14" s="64">
        <v>9</v>
      </c>
      <c r="F14" s="64">
        <v>4.5</v>
      </c>
      <c r="G14" s="64">
        <v>5</v>
      </c>
      <c r="H14" s="62" t="s">
        <v>339</v>
      </c>
      <c r="I14" s="62" t="s">
        <v>338</v>
      </c>
      <c r="J14" s="65">
        <v>629428</v>
      </c>
      <c r="K14" s="65">
        <f>J14*(1-0.1)*E14/D14*10</f>
        <v>212431.95000000004</v>
      </c>
      <c r="L14" s="65">
        <f t="shared" si="0"/>
        <v>118017.75</v>
      </c>
      <c r="M14" s="65">
        <f>25*16717*1.03</f>
        <v>430462.75</v>
      </c>
      <c r="N14" s="65">
        <f>(1*290812.5+1*405375)*1</f>
        <v>696187.5</v>
      </c>
      <c r="O14" s="65">
        <f t="shared" si="1"/>
        <v>131130.83333333334</v>
      </c>
      <c r="P14" s="66">
        <f t="shared" si="2"/>
        <v>1588230.8</v>
      </c>
    </row>
    <row r="15" spans="1:16" ht="12.75">
      <c r="A15" s="61" t="s">
        <v>337</v>
      </c>
      <c r="B15" s="62" t="s">
        <v>50</v>
      </c>
      <c r="C15" s="355" t="s">
        <v>10</v>
      </c>
      <c r="D15" s="63">
        <v>290</v>
      </c>
      <c r="E15" s="64">
        <v>11</v>
      </c>
      <c r="F15" s="64">
        <v>3.8</v>
      </c>
      <c r="G15" s="64">
        <v>6</v>
      </c>
      <c r="H15" s="62" t="s">
        <v>336</v>
      </c>
      <c r="I15" s="62" t="s">
        <v>335</v>
      </c>
      <c r="J15" s="65">
        <v>3161607</v>
      </c>
      <c r="K15" s="65">
        <f>J15*(1-0.1)*E15/D15*10</f>
        <v>1079307.2172413794</v>
      </c>
      <c r="L15" s="65">
        <f t="shared" si="0"/>
        <v>414279.5379310345</v>
      </c>
      <c r="M15" s="65">
        <f>120*1920.3732*1.05</f>
        <v>241967.0232</v>
      </c>
      <c r="N15" s="65">
        <f>(1*244987.5+1*405375)*1</f>
        <v>650362.5</v>
      </c>
      <c r="O15" s="65">
        <f t="shared" si="1"/>
        <v>654125.5862068966</v>
      </c>
      <c r="P15" s="66">
        <f t="shared" si="2"/>
        <v>3040041.9</v>
      </c>
    </row>
    <row r="16" spans="1:16" ht="12.75">
      <c r="A16" s="61" t="s">
        <v>334</v>
      </c>
      <c r="B16" s="62" t="s">
        <v>124</v>
      </c>
      <c r="C16" s="355" t="s">
        <v>10</v>
      </c>
      <c r="D16" s="63">
        <v>120</v>
      </c>
      <c r="E16" s="64">
        <v>20</v>
      </c>
      <c r="F16" s="64">
        <v>5.5</v>
      </c>
      <c r="G16" s="64">
        <v>4</v>
      </c>
      <c r="H16" s="62" t="s">
        <v>319</v>
      </c>
      <c r="I16" s="62" t="s">
        <v>303</v>
      </c>
      <c r="J16" s="65">
        <v>17400</v>
      </c>
      <c r="K16" s="65">
        <f>J16*E16/D16*10</f>
        <v>29000</v>
      </c>
      <c r="L16" s="65">
        <f t="shared" si="0"/>
        <v>7975</v>
      </c>
      <c r="M16" s="65">
        <f>11*1920.3732*1.05</f>
        <v>22180.31046</v>
      </c>
      <c r="N16" s="65">
        <f>(1*244987.5)*1</f>
        <v>244987.5</v>
      </c>
      <c r="O16" s="65">
        <f t="shared" si="1"/>
        <v>5800</v>
      </c>
      <c r="P16" s="66">
        <f t="shared" si="2"/>
        <v>309942.8</v>
      </c>
    </row>
    <row r="17" spans="1:16" ht="12.75">
      <c r="A17" s="61" t="s">
        <v>333</v>
      </c>
      <c r="B17" s="62" t="s">
        <v>63</v>
      </c>
      <c r="C17" s="355" t="s">
        <v>10</v>
      </c>
      <c r="D17" s="63">
        <v>240</v>
      </c>
      <c r="E17" s="64">
        <v>14</v>
      </c>
      <c r="F17" s="64">
        <v>4.1</v>
      </c>
      <c r="G17" s="64">
        <v>4</v>
      </c>
      <c r="H17" s="62" t="s">
        <v>332</v>
      </c>
      <c r="I17" s="62" t="s">
        <v>303</v>
      </c>
      <c r="J17" s="65">
        <v>18200</v>
      </c>
      <c r="K17" s="65">
        <f>J17*E17/D17*10</f>
        <v>10616.666666666668</v>
      </c>
      <c r="L17" s="65">
        <f t="shared" si="0"/>
        <v>3109.166666666667</v>
      </c>
      <c r="M17" s="65">
        <f>9*1920.3732*1.05</f>
        <v>18147.52674</v>
      </c>
      <c r="N17" s="65">
        <f>(1*244987.5)*1</f>
        <v>244987.5</v>
      </c>
      <c r="O17" s="65">
        <f t="shared" si="1"/>
        <v>3033.333333333333</v>
      </c>
      <c r="P17" s="66">
        <f t="shared" si="2"/>
        <v>279894.2</v>
      </c>
    </row>
    <row r="18" spans="1:16" ht="12.75">
      <c r="A18" s="61" t="s">
        <v>331</v>
      </c>
      <c r="B18" s="62" t="s">
        <v>48</v>
      </c>
      <c r="C18" s="355" t="s">
        <v>10</v>
      </c>
      <c r="D18" s="63">
        <v>200</v>
      </c>
      <c r="E18" s="64">
        <v>21</v>
      </c>
      <c r="F18" s="64">
        <v>4.8</v>
      </c>
      <c r="G18" s="64">
        <v>5</v>
      </c>
      <c r="H18" s="62" t="s">
        <v>330</v>
      </c>
      <c r="I18" s="62" t="s">
        <v>306</v>
      </c>
      <c r="J18" s="65">
        <v>16000</v>
      </c>
      <c r="K18" s="65">
        <f>J18*E18/D18*10</f>
        <v>16800</v>
      </c>
      <c r="L18" s="65">
        <f t="shared" si="0"/>
        <v>3840</v>
      </c>
      <c r="M18" s="65">
        <f>48*1920.3732*1.05</f>
        <v>96786.80928</v>
      </c>
      <c r="N18" s="65">
        <f>(1*290812.5)*1</f>
        <v>290812.5</v>
      </c>
      <c r="O18" s="65">
        <f t="shared" si="1"/>
        <v>4000</v>
      </c>
      <c r="P18" s="66">
        <f t="shared" si="2"/>
        <v>412239.3</v>
      </c>
    </row>
    <row r="19" spans="1:16" ht="12.75">
      <c r="A19" s="61" t="s">
        <v>329</v>
      </c>
      <c r="B19" s="62" t="s">
        <v>196</v>
      </c>
      <c r="C19" s="355" t="s">
        <v>10</v>
      </c>
      <c r="D19" s="63">
        <v>270</v>
      </c>
      <c r="E19" s="64">
        <v>15</v>
      </c>
      <c r="F19" s="64">
        <v>4.3</v>
      </c>
      <c r="G19" s="64">
        <v>5</v>
      </c>
      <c r="H19" s="62" t="s">
        <v>328</v>
      </c>
      <c r="I19" s="62" t="s">
        <v>306</v>
      </c>
      <c r="J19" s="65">
        <v>695012</v>
      </c>
      <c r="K19" s="65">
        <f aca="true" t="shared" si="3" ref="K19:K25">J19*(1-0.1)*E19/D19*10</f>
        <v>347506</v>
      </c>
      <c r="L19" s="65">
        <f t="shared" si="0"/>
        <v>110687.0962962963</v>
      </c>
      <c r="M19" s="65">
        <f>38*16717*1.03</f>
        <v>654303.38</v>
      </c>
      <c r="N19" s="65">
        <f>(1*290812.5)*1</f>
        <v>290812.5</v>
      </c>
      <c r="O19" s="65">
        <f t="shared" si="1"/>
        <v>128705.92592592593</v>
      </c>
      <c r="P19" s="66">
        <f t="shared" si="2"/>
        <v>1532014.9</v>
      </c>
    </row>
    <row r="20" spans="1:16" ht="12.75">
      <c r="A20" s="61" t="s">
        <v>327</v>
      </c>
      <c r="B20" s="62" t="s">
        <v>197</v>
      </c>
      <c r="C20" s="355" t="s">
        <v>10</v>
      </c>
      <c r="D20" s="63">
        <v>270</v>
      </c>
      <c r="E20" s="64">
        <v>15</v>
      </c>
      <c r="F20" s="64">
        <v>2.9</v>
      </c>
      <c r="G20" s="64">
        <v>5</v>
      </c>
      <c r="H20" s="62" t="s">
        <v>326</v>
      </c>
      <c r="I20" s="62" t="s">
        <v>306</v>
      </c>
      <c r="J20" s="65">
        <v>476144</v>
      </c>
      <c r="K20" s="65">
        <f t="shared" si="3"/>
        <v>238072.00000000006</v>
      </c>
      <c r="L20" s="65">
        <f t="shared" si="0"/>
        <v>51141.39259259259</v>
      </c>
      <c r="M20" s="65">
        <f>26*16717*1.03</f>
        <v>447681.26</v>
      </c>
      <c r="N20" s="65">
        <f>(1*290812.5)*1</f>
        <v>290812.5</v>
      </c>
      <c r="O20" s="65">
        <f t="shared" si="1"/>
        <v>88174.81481481482</v>
      </c>
      <c r="P20" s="66">
        <f t="shared" si="2"/>
        <v>1115882</v>
      </c>
    </row>
    <row r="21" spans="1:16" ht="12.75">
      <c r="A21" s="61" t="s">
        <v>325</v>
      </c>
      <c r="B21" s="62" t="s">
        <v>195</v>
      </c>
      <c r="C21" s="355" t="s">
        <v>10</v>
      </c>
      <c r="D21" s="63">
        <v>270</v>
      </c>
      <c r="E21" s="64">
        <v>14</v>
      </c>
      <c r="F21" s="64">
        <v>3.7</v>
      </c>
      <c r="G21" s="64">
        <v>5</v>
      </c>
      <c r="H21" s="62" t="s">
        <v>324</v>
      </c>
      <c r="I21" s="62" t="s">
        <v>306</v>
      </c>
      <c r="J21" s="65">
        <v>1668970</v>
      </c>
      <c r="K21" s="65">
        <f t="shared" si="3"/>
        <v>778852.6666666666</v>
      </c>
      <c r="L21" s="65">
        <f t="shared" si="0"/>
        <v>228710.7037037037</v>
      </c>
      <c r="M21" s="65">
        <f>67*16717*1.03</f>
        <v>1153640.17</v>
      </c>
      <c r="N21" s="65">
        <f>(1*290812.5)*1</f>
        <v>290812.5</v>
      </c>
      <c r="O21" s="65">
        <f t="shared" si="1"/>
        <v>309068.5185185185</v>
      </c>
      <c r="P21" s="66">
        <f t="shared" si="2"/>
        <v>2761084.6</v>
      </c>
    </row>
    <row r="22" spans="1:16" ht="12.75">
      <c r="A22" s="61" t="s">
        <v>323</v>
      </c>
      <c r="B22" s="62" t="s">
        <v>194</v>
      </c>
      <c r="C22" s="355" t="s">
        <v>10</v>
      </c>
      <c r="D22" s="63">
        <v>180</v>
      </c>
      <c r="E22" s="64">
        <v>14</v>
      </c>
      <c r="F22" s="64">
        <v>4.2</v>
      </c>
      <c r="G22" s="64">
        <v>5</v>
      </c>
      <c r="H22" s="62" t="s">
        <v>322</v>
      </c>
      <c r="I22" s="62" t="s">
        <v>321</v>
      </c>
      <c r="J22" s="65">
        <v>2043419</v>
      </c>
      <c r="K22" s="65">
        <f t="shared" si="3"/>
        <v>1430393.3000000003</v>
      </c>
      <c r="L22" s="65">
        <f t="shared" si="0"/>
        <v>476797.7666666667</v>
      </c>
      <c r="M22" s="65">
        <f>30*16717*1.03</f>
        <v>516555.3</v>
      </c>
      <c r="N22" s="65">
        <f>(1*244987.5+1*341925)*1</f>
        <v>586912.5</v>
      </c>
      <c r="O22" s="65">
        <f t="shared" si="1"/>
        <v>567616.3888888889</v>
      </c>
      <c r="P22" s="66">
        <f t="shared" si="2"/>
        <v>3578275.3</v>
      </c>
    </row>
    <row r="23" spans="1:16" ht="12.75">
      <c r="A23" s="61" t="s">
        <v>320</v>
      </c>
      <c r="B23" s="62" t="s">
        <v>38</v>
      </c>
      <c r="C23" s="355" t="s">
        <v>10</v>
      </c>
      <c r="D23" s="63">
        <v>165</v>
      </c>
      <c r="E23" s="64">
        <v>19</v>
      </c>
      <c r="F23" s="64">
        <v>6.5</v>
      </c>
      <c r="G23" s="64">
        <v>5</v>
      </c>
      <c r="H23" s="62" t="s">
        <v>319</v>
      </c>
      <c r="I23" s="62" t="s">
        <v>303</v>
      </c>
      <c r="J23" s="65">
        <v>30210</v>
      </c>
      <c r="K23" s="65">
        <f t="shared" si="3"/>
        <v>31308.545454545456</v>
      </c>
      <c r="L23" s="65">
        <f t="shared" si="0"/>
        <v>11900.90909090909</v>
      </c>
      <c r="M23" s="65">
        <f>11*1920.3732*1.05</f>
        <v>22180.31046</v>
      </c>
      <c r="N23" s="65">
        <f>(1*244987.5)*1</f>
        <v>244987.5</v>
      </c>
      <c r="O23" s="65">
        <f t="shared" si="1"/>
        <v>9154.545454545456</v>
      </c>
      <c r="P23" s="66">
        <f t="shared" si="2"/>
        <v>319531.8</v>
      </c>
    </row>
    <row r="24" spans="1:16" ht="12.75">
      <c r="A24" s="61" t="s">
        <v>318</v>
      </c>
      <c r="B24" s="62" t="s">
        <v>9</v>
      </c>
      <c r="C24" s="355" t="s">
        <v>10</v>
      </c>
      <c r="D24" s="63">
        <v>280</v>
      </c>
      <c r="E24" s="64">
        <v>17</v>
      </c>
      <c r="F24" s="64">
        <v>5.8</v>
      </c>
      <c r="G24" s="64">
        <v>5</v>
      </c>
      <c r="H24" s="62" t="s">
        <v>317</v>
      </c>
      <c r="I24" s="62" t="s">
        <v>306</v>
      </c>
      <c r="J24" s="65">
        <v>809944</v>
      </c>
      <c r="K24" s="65">
        <f t="shared" si="3"/>
        <v>442576.54285714286</v>
      </c>
      <c r="L24" s="65">
        <f t="shared" si="0"/>
        <v>167774.11428571428</v>
      </c>
      <c r="M24" s="65">
        <f>43*16717*1.03</f>
        <v>740395.93</v>
      </c>
      <c r="N24" s="65">
        <f>(1*290812.5)*1</f>
        <v>290812.5</v>
      </c>
      <c r="O24" s="65">
        <f t="shared" si="1"/>
        <v>144632.85714285713</v>
      </c>
      <c r="P24" s="66">
        <f t="shared" si="2"/>
        <v>1786191.9</v>
      </c>
    </row>
    <row r="25" spans="1:16" ht="12.75">
      <c r="A25" s="61" t="s">
        <v>316</v>
      </c>
      <c r="B25" s="62" t="s">
        <v>128</v>
      </c>
      <c r="C25" s="355" t="s">
        <v>10</v>
      </c>
      <c r="D25" s="63">
        <v>280</v>
      </c>
      <c r="E25" s="64">
        <v>17</v>
      </c>
      <c r="F25" s="64">
        <v>5.8</v>
      </c>
      <c r="G25" s="64">
        <v>5</v>
      </c>
      <c r="H25" s="62" t="s">
        <v>315</v>
      </c>
      <c r="I25" s="62" t="s">
        <v>306</v>
      </c>
      <c r="J25" s="65">
        <v>1863636</v>
      </c>
      <c r="K25" s="65">
        <f t="shared" si="3"/>
        <v>1018343.9571428571</v>
      </c>
      <c r="L25" s="65">
        <f t="shared" si="0"/>
        <v>386038.88571428566</v>
      </c>
      <c r="M25" s="65">
        <f>83*16717*1.03</f>
        <v>1429136.33</v>
      </c>
      <c r="N25" s="65">
        <f>(1*290812.5)*1</f>
        <v>290812.5</v>
      </c>
      <c r="O25" s="65">
        <f t="shared" si="1"/>
        <v>332792.14285714284</v>
      </c>
      <c r="P25" s="66">
        <f t="shared" si="2"/>
        <v>3457123.8</v>
      </c>
    </row>
    <row r="26" spans="1:16" ht="12.75">
      <c r="A26" s="61" t="s">
        <v>314</v>
      </c>
      <c r="B26" s="62" t="s">
        <v>185</v>
      </c>
      <c r="C26" s="355" t="s">
        <v>10</v>
      </c>
      <c r="D26" s="63">
        <v>150</v>
      </c>
      <c r="E26" s="64">
        <v>25</v>
      </c>
      <c r="F26" s="64">
        <v>8.8</v>
      </c>
      <c r="G26" s="64">
        <v>4</v>
      </c>
      <c r="H26" s="62" t="s">
        <v>313</v>
      </c>
      <c r="I26" s="62" t="s">
        <v>303</v>
      </c>
      <c r="J26" s="65">
        <v>6420</v>
      </c>
      <c r="K26" s="65">
        <f>J26*E26/D26*10</f>
        <v>10700</v>
      </c>
      <c r="L26" s="65">
        <f t="shared" si="0"/>
        <v>3766.4000000000005</v>
      </c>
      <c r="M26" s="65">
        <f>5*1920.3732*1.05</f>
        <v>10081.9593</v>
      </c>
      <c r="N26" s="65">
        <f>(1*244987.5)*1</f>
        <v>244987.5</v>
      </c>
      <c r="O26" s="65">
        <f t="shared" si="1"/>
        <v>1712</v>
      </c>
      <c r="P26" s="66">
        <f t="shared" si="2"/>
        <v>271247.9</v>
      </c>
    </row>
    <row r="27" spans="1:16" ht="12.75">
      <c r="A27" s="61" t="s">
        <v>312</v>
      </c>
      <c r="B27" s="62" t="s">
        <v>39</v>
      </c>
      <c r="C27" s="355" t="s">
        <v>10</v>
      </c>
      <c r="D27" s="63">
        <v>150</v>
      </c>
      <c r="E27" s="64">
        <v>20</v>
      </c>
      <c r="F27" s="64">
        <v>8.8</v>
      </c>
      <c r="G27" s="64">
        <v>4</v>
      </c>
      <c r="H27" s="62" t="s">
        <v>311</v>
      </c>
      <c r="I27" s="62" t="s">
        <v>303</v>
      </c>
      <c r="J27" s="65">
        <v>7395</v>
      </c>
      <c r="K27" s="65">
        <f>J27*E27/D27*10</f>
        <v>9860</v>
      </c>
      <c r="L27" s="65">
        <f t="shared" si="0"/>
        <v>4338.400000000001</v>
      </c>
      <c r="M27" s="65">
        <f>7*1920.3732*1.05</f>
        <v>14114.74302</v>
      </c>
      <c r="N27" s="65">
        <f>(1*244987.5)*1</f>
        <v>244987.5</v>
      </c>
      <c r="O27" s="65">
        <f t="shared" si="1"/>
        <v>1972</v>
      </c>
      <c r="P27" s="66">
        <f t="shared" si="2"/>
        <v>275272.6</v>
      </c>
    </row>
    <row r="28" spans="1:16" ht="12.75">
      <c r="A28" s="61" t="s">
        <v>310</v>
      </c>
      <c r="B28" s="62" t="s">
        <v>19</v>
      </c>
      <c r="C28" s="355" t="s">
        <v>10</v>
      </c>
      <c r="D28" s="63">
        <v>200</v>
      </c>
      <c r="E28" s="64">
        <v>20</v>
      </c>
      <c r="F28" s="64">
        <v>5.4</v>
      </c>
      <c r="G28" s="64">
        <v>4</v>
      </c>
      <c r="H28" s="62" t="s">
        <v>309</v>
      </c>
      <c r="I28" s="62" t="s">
        <v>303</v>
      </c>
      <c r="J28" s="65">
        <v>35771</v>
      </c>
      <c r="K28" s="65">
        <f aca="true" t="shared" si="4" ref="K28:K33">J28*(1-0.1)*E28/D28*10</f>
        <v>32193.899999999998</v>
      </c>
      <c r="L28" s="65">
        <f t="shared" si="0"/>
        <v>9658.170000000002</v>
      </c>
      <c r="M28" s="65">
        <f>4*20409*1.02</f>
        <v>83268.72</v>
      </c>
      <c r="N28" s="65">
        <f>(1*244987.5)*1</f>
        <v>244987.5</v>
      </c>
      <c r="O28" s="65">
        <f t="shared" si="1"/>
        <v>7154.2</v>
      </c>
      <c r="P28" s="66">
        <f t="shared" si="2"/>
        <v>377262.5</v>
      </c>
    </row>
    <row r="29" spans="1:16" ht="12.75">
      <c r="A29" s="61" t="s">
        <v>308</v>
      </c>
      <c r="B29" s="62" t="s">
        <v>129</v>
      </c>
      <c r="C29" s="355" t="s">
        <v>10</v>
      </c>
      <c r="D29" s="63">
        <v>280</v>
      </c>
      <c r="E29" s="64">
        <v>14</v>
      </c>
      <c r="F29" s="64">
        <v>5.8</v>
      </c>
      <c r="G29" s="64">
        <v>5</v>
      </c>
      <c r="H29" s="62" t="s">
        <v>307</v>
      </c>
      <c r="I29" s="62" t="s">
        <v>306</v>
      </c>
      <c r="J29" s="65">
        <v>851855</v>
      </c>
      <c r="K29" s="65">
        <f t="shared" si="4"/>
        <v>383334.75</v>
      </c>
      <c r="L29" s="65">
        <f t="shared" si="0"/>
        <v>176455.67857142858</v>
      </c>
      <c r="M29" s="65">
        <f>46*16717*1.03</f>
        <v>792051.46</v>
      </c>
      <c r="N29" s="65">
        <f>(1*290812.5)*1</f>
        <v>290812.5</v>
      </c>
      <c r="O29" s="65">
        <f t="shared" si="1"/>
        <v>152116.9642857143</v>
      </c>
      <c r="P29" s="66">
        <f t="shared" si="2"/>
        <v>1794771.4</v>
      </c>
    </row>
    <row r="30" spans="1:16" ht="12.75">
      <c r="A30" s="61" t="s">
        <v>305</v>
      </c>
      <c r="B30" s="62" t="s">
        <v>49</v>
      </c>
      <c r="C30" s="355" t="s">
        <v>10</v>
      </c>
      <c r="D30" s="63">
        <v>290</v>
      </c>
      <c r="E30" s="64">
        <v>16.5</v>
      </c>
      <c r="F30" s="64">
        <v>4.1</v>
      </c>
      <c r="G30" s="64">
        <v>5</v>
      </c>
      <c r="H30" s="62" t="s">
        <v>304</v>
      </c>
      <c r="I30" s="62" t="s">
        <v>303</v>
      </c>
      <c r="J30" s="65">
        <v>590336</v>
      </c>
      <c r="K30" s="65">
        <f t="shared" si="4"/>
        <v>302292.7448275862</v>
      </c>
      <c r="L30" s="65">
        <f t="shared" si="0"/>
        <v>83461.29655172411</v>
      </c>
      <c r="M30" s="65">
        <f>47*1920.3732*1.05</f>
        <v>94770.41742</v>
      </c>
      <c r="N30" s="65">
        <f>(1*244987.5)*1</f>
        <v>244987.5</v>
      </c>
      <c r="O30" s="65">
        <f t="shared" si="1"/>
        <v>101782.06896551725</v>
      </c>
      <c r="P30" s="66">
        <f t="shared" si="2"/>
        <v>827294</v>
      </c>
    </row>
    <row r="31" spans="1:16" ht="12.75">
      <c r="A31" s="144" t="s">
        <v>528</v>
      </c>
      <c r="B31" s="145" t="s">
        <v>485</v>
      </c>
      <c r="C31" s="145" t="s">
        <v>10</v>
      </c>
      <c r="D31" s="146">
        <v>260</v>
      </c>
      <c r="E31" s="147">
        <v>17</v>
      </c>
      <c r="F31" s="147">
        <v>7.3</v>
      </c>
      <c r="G31" s="147">
        <v>6</v>
      </c>
      <c r="H31" s="148" t="s">
        <v>307</v>
      </c>
      <c r="I31" s="148" t="s">
        <v>529</v>
      </c>
      <c r="J31" s="149">
        <v>616643</v>
      </c>
      <c r="K31" s="149">
        <f t="shared" si="4"/>
        <v>362870.68846153846</v>
      </c>
      <c r="L31" s="149">
        <f t="shared" si="0"/>
        <v>173134.38076923075</v>
      </c>
      <c r="M31" s="149">
        <f>46*16717*1.03</f>
        <v>792051.46</v>
      </c>
      <c r="N31" s="149">
        <f>(1*267900)*1</f>
        <v>267900</v>
      </c>
      <c r="O31" s="149">
        <f t="shared" si="1"/>
        <v>142302.23076923078</v>
      </c>
      <c r="P31" s="150">
        <f t="shared" si="2"/>
        <v>1738258.8</v>
      </c>
    </row>
    <row r="32" spans="1:16" ht="12.75">
      <c r="A32" s="151" t="s">
        <v>530</v>
      </c>
      <c r="B32" s="145" t="s">
        <v>474</v>
      </c>
      <c r="C32" s="145" t="s">
        <v>10</v>
      </c>
      <c r="D32" s="152">
        <v>250</v>
      </c>
      <c r="E32" s="147">
        <v>17</v>
      </c>
      <c r="F32" s="147">
        <v>6.2</v>
      </c>
      <c r="G32" s="147">
        <v>6</v>
      </c>
      <c r="H32" s="148" t="s">
        <v>531</v>
      </c>
      <c r="I32" s="148" t="s">
        <v>529</v>
      </c>
      <c r="J32" s="153">
        <v>427131</v>
      </c>
      <c r="K32" s="149">
        <f t="shared" si="4"/>
        <v>261404.17200000002</v>
      </c>
      <c r="L32" s="149">
        <f t="shared" si="0"/>
        <v>105928.48800000001</v>
      </c>
      <c r="M32" s="153">
        <f>31*16717*1.03</f>
        <v>533773.81</v>
      </c>
      <c r="N32" s="153">
        <f>(1*267900)*1</f>
        <v>267900</v>
      </c>
      <c r="O32" s="153">
        <f t="shared" si="1"/>
        <v>102511.44</v>
      </c>
      <c r="P32" s="154">
        <f t="shared" si="2"/>
        <v>1271517.9</v>
      </c>
    </row>
    <row r="33" spans="1:16" ht="13.5" thickBot="1">
      <c r="A33" s="67" t="s">
        <v>302</v>
      </c>
      <c r="B33" s="68" t="s">
        <v>198</v>
      </c>
      <c r="C33" s="356" t="s">
        <v>10</v>
      </c>
      <c r="D33" s="69">
        <v>260</v>
      </c>
      <c r="E33" s="70">
        <v>12</v>
      </c>
      <c r="F33" s="70">
        <v>4.4</v>
      </c>
      <c r="G33" s="70">
        <v>6</v>
      </c>
      <c r="H33" s="68" t="s">
        <v>301</v>
      </c>
      <c r="I33" s="68" t="s">
        <v>300</v>
      </c>
      <c r="J33" s="71">
        <v>497469</v>
      </c>
      <c r="K33" s="71">
        <f t="shared" si="4"/>
        <v>206640.96923076923</v>
      </c>
      <c r="L33" s="71">
        <f t="shared" si="0"/>
        <v>84187.06153846155</v>
      </c>
      <c r="M33" s="71">
        <f>23*16717*1.03</f>
        <v>396025.73</v>
      </c>
      <c r="N33" s="71">
        <f>(1*317847.5)*1</f>
        <v>317847.5</v>
      </c>
      <c r="O33" s="71">
        <f t="shared" si="1"/>
        <v>114800.53846153845</v>
      </c>
      <c r="P33" s="72">
        <f t="shared" si="2"/>
        <v>1119501.8</v>
      </c>
    </row>
    <row r="36" ht="12.75" hidden="1">
      <c r="J36" s="60" t="s">
        <v>459</v>
      </c>
    </row>
    <row r="37" spans="10:11" ht="12.75" hidden="1">
      <c r="J37" s="60" t="s">
        <v>460</v>
      </c>
      <c r="K37" s="60">
        <v>20409</v>
      </c>
    </row>
    <row r="38" spans="10:11" ht="12.75" hidden="1">
      <c r="J38" s="60" t="s">
        <v>461</v>
      </c>
      <c r="K38" s="60">
        <v>16717</v>
      </c>
    </row>
    <row r="39" spans="10:11" ht="12.75" hidden="1">
      <c r="J39" s="60" t="s">
        <v>590</v>
      </c>
      <c r="K39" s="60">
        <v>1920.3732</v>
      </c>
    </row>
    <row r="40" ht="12.75" hidden="1">
      <c r="J40" s="196" t="s">
        <v>599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2" right="0.4" top="0.7" bottom="0.7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2023-09-10T07:06:53Z</cp:lastPrinted>
  <dcterms:created xsi:type="dcterms:W3CDTF">2023-08-14T04:14:50Z</dcterms:created>
  <dcterms:modified xsi:type="dcterms:W3CDTF">2023-09-15T02:31:37Z</dcterms:modified>
  <cp:category/>
  <cp:version/>
  <cp:contentType/>
  <cp:contentStatus/>
</cp:coreProperties>
</file>