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7275" activeTab="0"/>
  </bookViews>
  <sheets>
    <sheet name="LCNT" sheetId="1" r:id="rId1"/>
    <sheet name="Tong du toan" sheetId="2" r:id="rId2"/>
    <sheet name="CP Xay lap" sheetId="3" r:id="rId3"/>
    <sheet name="Du toan chi tiet" sheetId="4" r:id="rId4"/>
    <sheet name="Phan tich don gia" sheetId="5" r:id="rId5"/>
    <sheet name="Gia NC,CM" sheetId="6" r:id="rId6"/>
    <sheet name="Gia VL" sheetId="7" r:id="rId7"/>
    <sheet name="KL,Tien luong" sheetId="8" r:id="rId8"/>
    <sheet name="Tong hop KL VL,NC,M" sheetId="9" r:id="rId9"/>
    <sheet name="Phan tich KL VL,NC,M" sheetId="10" r:id="rId10"/>
  </sheets>
  <definedNames>
    <definedName name="_xlnm.Print_Titles" localSheetId="2">'CP Xay lap'!$7:$7</definedName>
    <definedName name="_xlnm.Print_Titles" localSheetId="3">'Du toan chi tiet'!$7:$8</definedName>
    <definedName name="_xlnm.Print_Titles" localSheetId="5">'Gia NC,CM'!$7:$7</definedName>
    <definedName name="_xlnm.Print_Titles" localSheetId="6">'Gia VL'!$7:$7</definedName>
    <definedName name="_xlnm.Print_Titles" localSheetId="7">'KL,Tien luong'!$7:$7</definedName>
    <definedName name="_xlnm.Print_Titles" localSheetId="4">'Phan tich don gia'!$7:$7</definedName>
    <definedName name="_xlnm.Print_Titles" localSheetId="9">'Phan tich KL VL,NC,M'!$7:$7</definedName>
    <definedName name="_xlnm.Print_Titles" localSheetId="1">'Tong du toan'!$11:$11</definedName>
    <definedName name="_xlnm.Print_Titles" localSheetId="8">'Tong hop KL VL,NC,M'!$7:$7</definedName>
  </definedNames>
  <calcPr fullCalcOnLoad="1"/>
</workbook>
</file>

<file path=xl/sharedStrings.xml><?xml version="1.0" encoding="utf-8"?>
<sst xmlns="http://schemas.openxmlformats.org/spreadsheetml/2006/main" count="5370" uniqueCount="637">
  <si>
    <t/>
  </si>
  <si>
    <t>*\1-   PhÇn s©n nÒn, bã vØa</t>
  </si>
  <si>
    <t>1</t>
  </si>
  <si>
    <t>AK.41113</t>
  </si>
  <si>
    <t>L¸ng nÒn, sµn kh«ng ®¸nh mµu Dµy 2 cm , V÷a M75</t>
  </si>
  <si>
    <t>1 m2</t>
  </si>
  <si>
    <t xml:space="preserve">   - Xi m¨ng PC40</t>
  </si>
  <si>
    <t>Kg</t>
  </si>
  <si>
    <t xml:space="preserve">   - C¸t mÞn Ml=1.5-2.0</t>
  </si>
  <si>
    <t>m3</t>
  </si>
  <si>
    <t xml:space="preserve">   - N­íc</t>
  </si>
  <si>
    <t xml:space="preserve">   - Nh©n c«ng bËc 4.0/7N2</t>
  </si>
  <si>
    <t>C«ng</t>
  </si>
  <si>
    <t xml:space="preserve">   - M¸y trén 150l</t>
  </si>
  <si>
    <t>Ca</t>
  </si>
  <si>
    <t>2</t>
  </si>
  <si>
    <t>AK.55114</t>
  </si>
  <si>
    <t>L¸t g¹ch s©n g¹ch Terrazo 300x300mm,VM75</t>
  </si>
  <si>
    <t xml:space="preserve">   - G¹ch Terrazo 300x300mm</t>
  </si>
  <si>
    <t>m2</t>
  </si>
  <si>
    <t xml:space="preserve">   - Xi m¨ng</t>
  </si>
  <si>
    <t>3</t>
  </si>
  <si>
    <t>AB.11412</t>
  </si>
  <si>
    <t>§µo mãng b»ng thñ c«ng</t>
  </si>
  <si>
    <t>1 m3</t>
  </si>
  <si>
    <t xml:space="preserve">   - Nh©n c«ng bËc 3.0/7N1</t>
  </si>
  <si>
    <t>4</t>
  </si>
  <si>
    <t>AB.65120</t>
  </si>
  <si>
    <t>§¾p ®Êt c«ng tr×nh = ®Çm ®Êt cÇm tay 70kg</t>
  </si>
  <si>
    <t>§é chÆt yªu cÇu K=0.90</t>
  </si>
  <si>
    <t xml:space="preserve">   - M¸y ®Çm ®Êt cÇm tay 70kg</t>
  </si>
  <si>
    <t>5</t>
  </si>
  <si>
    <t>AF.81122</t>
  </si>
  <si>
    <t>V¸n khu«n mãng cét vu«ng, ch÷ nhËt</t>
  </si>
  <si>
    <t xml:space="preserve">   - Gç v¸n</t>
  </si>
  <si>
    <t xml:space="preserve">   - Gç ®µ nÑp</t>
  </si>
  <si>
    <t xml:space="preserve">   - Gç chèng</t>
  </si>
  <si>
    <t xml:space="preserve">   - §inh</t>
  </si>
  <si>
    <t xml:space="preserve">   - Nh©n c«ng bËc 3.5/7N2</t>
  </si>
  <si>
    <t>6</t>
  </si>
  <si>
    <t>AF.11110</t>
  </si>
  <si>
    <t>Bª t«ng ®¸ d¨m lãt mãng, R&lt;=250cm</t>
  </si>
  <si>
    <t>V÷a bª t«ng ®¸ 4x6 M100</t>
  </si>
  <si>
    <t xml:space="preserve">   - Xi m¨ng PCB30</t>
  </si>
  <si>
    <t xml:space="preserve">   - C¸t vµng</t>
  </si>
  <si>
    <t xml:space="preserve">   - §¸ d¨m 4x6</t>
  </si>
  <si>
    <t xml:space="preserve">   - Nh©n c«ng bËc 3.0/7N2</t>
  </si>
  <si>
    <t xml:space="preserve">   - M¸y trén BT 250 l</t>
  </si>
  <si>
    <t xml:space="preserve">   - M¸y ®Çm bµn 1KW</t>
  </si>
  <si>
    <t>7</t>
  </si>
  <si>
    <t>AE.822813</t>
  </si>
  <si>
    <t>X©y t­êng th¼ng b»ng g¹ch (9.5x6x20)cm</t>
  </si>
  <si>
    <t>Dµy 9.5cm, cao &lt;= 6m,v÷a XM M75</t>
  </si>
  <si>
    <t xml:space="preserve">   - G¹ch bª t«ng 9.5x6x20cm</t>
  </si>
  <si>
    <t>Viªn</t>
  </si>
  <si>
    <t xml:space="preserve">   - M¸y trén v÷a 150l</t>
  </si>
  <si>
    <t>8</t>
  </si>
  <si>
    <t>AK.21533</t>
  </si>
  <si>
    <t>Tr¸t t­êng x©y g¹ch ko nung = v÷a th«ng th­êng dµy</t>
  </si>
  <si>
    <t>9</t>
  </si>
  <si>
    <t>AK.84224</t>
  </si>
  <si>
    <t>S¬n t­êng ngoµi nhµ kh«ng b¶</t>
  </si>
  <si>
    <t>1m2</t>
  </si>
  <si>
    <t>1 n­íc lãt,2 n­íc phñ</t>
  </si>
  <si>
    <t xml:space="preserve">   - S¬n lãt ngo¹i thÊt</t>
  </si>
  <si>
    <t>LÝt</t>
  </si>
  <si>
    <t xml:space="preserve">   - S¬n phñ ngo¹i thÊt</t>
  </si>
  <si>
    <t>*\2-  Nhµ häc 2 phßng 01</t>
  </si>
  <si>
    <t>10</t>
  </si>
  <si>
    <t>SA.11811</t>
  </si>
  <si>
    <t>C¹o bá líp v«i trªn bÒ mÆt T­êng cét, trô</t>
  </si>
  <si>
    <t>11</t>
  </si>
  <si>
    <t>SA.11812</t>
  </si>
  <si>
    <t>C¹o bá líp v«i trªn bÒ mÆt Xµ, dÇm, trÇn</t>
  </si>
  <si>
    <t>12</t>
  </si>
  <si>
    <t>SA.41111</t>
  </si>
  <si>
    <t>§ôc tÈy bÒ mÆt t­êng</t>
  </si>
  <si>
    <t>(LÊy 30 %  diÖn tÝch t­êng)</t>
  </si>
  <si>
    <t xml:space="preserve">   - Nh©n c«ng bËc 3.5/7N1</t>
  </si>
  <si>
    <t>13</t>
  </si>
  <si>
    <t>SB.91511</t>
  </si>
  <si>
    <t>Bèc xÕp phÕ th¶i c¸c lo¹i</t>
  </si>
  <si>
    <t>14</t>
  </si>
  <si>
    <t>SB.91521</t>
  </si>
  <si>
    <t>V/chuyÓn = thñ c«ng 10m khëi ®iÓm</t>
  </si>
  <si>
    <t>PhÕ th¶i c¸c lo¹i</t>
  </si>
  <si>
    <t>15</t>
  </si>
  <si>
    <t>SB.94711</t>
  </si>
  <si>
    <t>V/chuyÓn phÕ th¶i tiÕp 1000m b»ng « t« 5T</t>
  </si>
  <si>
    <t>1m3</t>
  </si>
  <si>
    <t xml:space="preserve">   - ¤ t« vËn t¶i thïng 5T</t>
  </si>
  <si>
    <t>16</t>
  </si>
  <si>
    <t>AK.21123</t>
  </si>
  <si>
    <t>Tr¸t t­êng ngoµi, bÒ dµy 1.5 cm V÷a XM M75</t>
  </si>
  <si>
    <t>( B»ng phÇn ®ôc tÈy t­êng ngoµi)</t>
  </si>
  <si>
    <t xml:space="preserve">   - C¸t mÞn Ml=0.7-1.4</t>
  </si>
  <si>
    <t>17</t>
  </si>
  <si>
    <t>AK.21223</t>
  </si>
  <si>
    <t>Tr¸t t­êng trong, bÒ dµy 1.5 cm V÷a XM M75</t>
  </si>
  <si>
    <t>( B»ng phÇn ®ôc tÈy t­êng trong)</t>
  </si>
  <si>
    <t>18</t>
  </si>
  <si>
    <t>S¬n t­êng ngoµi nhµ kh«ng b¶ 1 n­íc lãt,2 n­íc phñ</t>
  </si>
  <si>
    <t>19</t>
  </si>
  <si>
    <t>SB.82522</t>
  </si>
  <si>
    <t>S¬n dÇm, trÇn, cét, t­êng trong nhµ kh«ng b¶</t>
  </si>
  <si>
    <t>1 n­íc lãt, 2 n­íc phñ</t>
  </si>
  <si>
    <t xml:space="preserve">   - S¬n lãt néi thÊt</t>
  </si>
  <si>
    <t xml:space="preserve">   - S¬n phñ néi thÊt</t>
  </si>
  <si>
    <t>20</t>
  </si>
  <si>
    <t>SA.11212</t>
  </si>
  <si>
    <t>Ph¸ dì nÒn g¹ch 400x400mm cò</t>
  </si>
  <si>
    <t>21</t>
  </si>
  <si>
    <t>22</t>
  </si>
  <si>
    <t>23</t>
  </si>
  <si>
    <t>SB.94811</t>
  </si>
  <si>
    <t>V/chuyÓn phÕ th¶i tiÕp 1000m b»ng « t« 7T</t>
  </si>
  <si>
    <t xml:space="preserve">   - ¤ t« vËn t¶i thïng 7T</t>
  </si>
  <si>
    <t>24</t>
  </si>
  <si>
    <t>25</t>
  </si>
  <si>
    <t>AK.51283</t>
  </si>
  <si>
    <t>L¸t nÒn, sµn G¹ch 600x600mm, XM c¸t mÞn M75</t>
  </si>
  <si>
    <t xml:space="preserve">   - G¹ch 600x600mm</t>
  </si>
  <si>
    <t xml:space="preserve">   - Xi m¨ng PCB40</t>
  </si>
  <si>
    <t xml:space="preserve">   - Xi m¨ng tr¾ng</t>
  </si>
  <si>
    <t xml:space="preserve">   - M¸y c¾t g¹ch 1.7KW</t>
  </si>
  <si>
    <t>26</t>
  </si>
  <si>
    <t>AK.64310</t>
  </si>
  <si>
    <t>Thi c«ng trÇn nhùa+ khung x­¬ng s¾t</t>
  </si>
  <si>
    <t xml:space="preserve">   - TrÇn nhùa khung næi</t>
  </si>
  <si>
    <t>*\3-  Nhµ häc 2 phßng 02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</si>
  <si>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</si>
  <si>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</si>
  <si>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</si>
  <si>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</si>
  <si>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</si>
  <si>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</si>
  <si>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</si>
  <si>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</si>
  <si>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</si>
  <si>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</si>
  <si>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</si>
  <si>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</si>
  <si>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</si>
  <si>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</si>
  <si>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</si>
  <si>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</si>
  <si>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</si>
  <si>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</si>
  <si>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SA.11822</t>
  </si>
  <si>
    <t>C¹o bá líp s¬n trªn bÒ mÆt Gç</t>
  </si>
  <si>
    <t>45</t>
  </si>
  <si>
    <t>SB.82220</t>
  </si>
  <si>
    <t>S¬n s¾t thÐp 1 n­íc lãt, 2 n­íc phñ</t>
  </si>
  <si>
    <t xml:space="preserve">   - S¬n lãt gç</t>
  </si>
  <si>
    <t xml:space="preserve">   - S¬n phñ gç</t>
  </si>
  <si>
    <t>*\4- Khu vùc vÖ sinh</t>
  </si>
  <si>
    <t>46</t>
  </si>
  <si>
    <t>AA.31312</t>
  </si>
  <si>
    <t>Th¸o dì kÕt cÊu cöa  = thñ c«ng</t>
  </si>
  <si>
    <t>47</t>
  </si>
  <si>
    <t>SA.21313</t>
  </si>
  <si>
    <t>Th¸o dì BÖ xÝ</t>
  </si>
  <si>
    <t>bé</t>
  </si>
  <si>
    <t>48</t>
  </si>
  <si>
    <t>AK.22113</t>
  </si>
  <si>
    <t>Tr¸t m¸ cöa</t>
  </si>
  <si>
    <t>49</t>
  </si>
  <si>
    <t>50</t>
  </si>
  <si>
    <t>TT.Cuadi1canh</t>
  </si>
  <si>
    <t>Cung cÊp, l¾p ®Æt cöa ®i 1 c¸nh nh«m Xingfa</t>
  </si>
  <si>
    <t>kÝnh mê 6.38mm</t>
  </si>
  <si>
    <t xml:space="preserve">   - Cöa ®i 1 c¸nh nh«m xingfa, kÝnh mê 6.38mm</t>
  </si>
  <si>
    <t>51</t>
  </si>
  <si>
    <t>TT.PKCD1C</t>
  </si>
  <si>
    <t>Cung cÊp, l¾p ®Æt phô kiÖn cöa ®i 1 c¸nh Nh«m Xing</t>
  </si>
  <si>
    <t>Bé</t>
  </si>
  <si>
    <t xml:space="preserve">   - Phô kiÖn cöa ®i 1 c¸nh nh«m xingfa ®ång bé</t>
  </si>
  <si>
    <t>52</t>
  </si>
  <si>
    <t>BB.91202</t>
  </si>
  <si>
    <t>L¾p ®Æt chËu xÝ xæm</t>
  </si>
  <si>
    <t>1 Bé</t>
  </si>
  <si>
    <t xml:space="preserve">   - ChËu xÝ xæm</t>
  </si>
  <si>
    <t>*\5- M­¬ng tho¸t n­íc</t>
  </si>
  <si>
    <t>53</t>
  </si>
  <si>
    <t>AB.25103</t>
  </si>
  <si>
    <t>§µo mãng b»ng m¸y ®µo &lt;= 0.4m3</t>
  </si>
  <si>
    <t>ChiÒu réng mãng &lt;= 6m, §Êt cÊp III</t>
  </si>
  <si>
    <t xml:space="preserve">   - M¸y ®µo 0.4m3</t>
  </si>
  <si>
    <t>54</t>
  </si>
  <si>
    <t>AB.11313</t>
  </si>
  <si>
    <t>§µo mãng b¨ng cã chiÒu réng&lt;=3m</t>
  </si>
  <si>
    <t>55</t>
  </si>
  <si>
    <t>56</t>
  </si>
  <si>
    <t>AF.81111</t>
  </si>
  <si>
    <t>V¸n khu«n mãng dµi, bÖ m¸y</t>
  </si>
  <si>
    <t>57</t>
  </si>
  <si>
    <t>58</t>
  </si>
  <si>
    <t>AF.11311</t>
  </si>
  <si>
    <t>Bª t«ng nÒn V÷a bª t«ng ®¸ 1x2 M150</t>
  </si>
  <si>
    <t xml:space="preserve">   - §¸ d¨m 1x2</t>
  </si>
  <si>
    <t>59</t>
  </si>
  <si>
    <t>AF.61611</t>
  </si>
  <si>
    <t>Gia c«ng cèt thÐp lanh t« liÒn m¸i h¾t...</t>
  </si>
  <si>
    <t>TÊn</t>
  </si>
  <si>
    <t>§/kÝnh cèt thÐp d&lt;=10 mm,cao&lt;=6m</t>
  </si>
  <si>
    <t xml:space="preserve">   - ThÐp trßn d&lt;=10mm</t>
  </si>
  <si>
    <t xml:space="preserve">   - D©y thÐp</t>
  </si>
  <si>
    <t xml:space="preserve">   - M¸y c¾t uèn cèt thÐp 5KW</t>
  </si>
  <si>
    <t>60</t>
  </si>
  <si>
    <t>AF.81141</t>
  </si>
  <si>
    <t>V¸n khu«n xµ dÇm, gi»ng</t>
  </si>
  <si>
    <t>61</t>
  </si>
  <si>
    <t>AF.12312</t>
  </si>
  <si>
    <t>Bª t«ng xµ, dÇm, gi»ng nhµ</t>
  </si>
  <si>
    <t>ChiÒu cao &lt;=6m.V÷a BT ®¸ 1x2 M200</t>
  </si>
  <si>
    <t xml:space="preserve">   - M¸y ®Çm dïi 1.5KW</t>
  </si>
  <si>
    <t>62</t>
  </si>
  <si>
    <t>,v÷a XM M75</t>
  </si>
  <si>
    <t>63</t>
  </si>
  <si>
    <t>64</t>
  </si>
  <si>
    <t>AK.41213</t>
  </si>
  <si>
    <t>L¸ng nÒn, sµn cã ®¸nh mµu</t>
  </si>
  <si>
    <t>Dµy 2 cm , V÷a M75</t>
  </si>
  <si>
    <t>65</t>
  </si>
  <si>
    <t>AF.81152</t>
  </si>
  <si>
    <t>V¸n khu«n lanh t«,lanh t« liÒn m¸i h¾t,</t>
  </si>
  <si>
    <t>m¸ng n­íc, tÊm ®an</t>
  </si>
  <si>
    <t>66</t>
  </si>
  <si>
    <t>AG.11412</t>
  </si>
  <si>
    <t>S¶n xuÊt cÊu kiÖn bª t«ng ®óc s½n</t>
  </si>
  <si>
    <t>1  m3</t>
  </si>
  <si>
    <t>tÊm ®an, m¸i h¾t, lanh t«, v÷a M200</t>
  </si>
  <si>
    <t>67</t>
  </si>
  <si>
    <t>AG.42115</t>
  </si>
  <si>
    <t>L¾p c¸c lo¹i cÊu kiÖn bª t«ng ®óc</t>
  </si>
  <si>
    <t>C¸i</t>
  </si>
  <si>
    <t>s½n b»ng thñ c«ng, Pck&lt;=100Kg</t>
  </si>
  <si>
    <t>68</t>
  </si>
  <si>
    <t>AM.11212</t>
  </si>
  <si>
    <t>Bèc g¹ch x©y c¸c lo¹i b»ng: thñ c«ng - bèc xuèng</t>
  </si>
  <si>
    <t>1000v</t>
  </si>
  <si>
    <t>xe</t>
  </si>
  <si>
    <t>69</t>
  </si>
  <si>
    <t>AM.11252</t>
  </si>
  <si>
    <t>Bèc gç c¸c lo¹i b»ng: thñ c«ng - bèc xuèng xe</t>
  </si>
  <si>
    <t>70</t>
  </si>
  <si>
    <t>AM.23111</t>
  </si>
  <si>
    <t>V/c c¸t x©y dùng b»ng: « t« tù ®æ 7T, cù ly &lt;1km</t>
  </si>
  <si>
    <t>10m3/km</t>
  </si>
  <si>
    <t xml:space="preserve">   - ¤ t« tù ®æ 7T</t>
  </si>
  <si>
    <t>71</t>
  </si>
  <si>
    <t>AM.23112</t>
  </si>
  <si>
    <t>V/c c¸t x©y dùng b»ng: « t« tù ®æ 7T, cù ly &lt;10km</t>
  </si>
  <si>
    <t>72</t>
  </si>
  <si>
    <t>AM.23113</t>
  </si>
  <si>
    <t>V/c c¸t x©y dùng b»ng: « t« tù ®æ 7T, cù ly &lt;60km</t>
  </si>
  <si>
    <t>73</t>
  </si>
  <si>
    <t>AM.23221</t>
  </si>
  <si>
    <t>V/c ®Êt x©y dùng b»ng: « t« tù ®æ 10T, cù ly &lt;1km</t>
  </si>
  <si>
    <t xml:space="preserve">   - ¤ t« tù ®æ 10T</t>
  </si>
  <si>
    <t>74</t>
  </si>
  <si>
    <t>AM.23222</t>
  </si>
  <si>
    <t>V/c ®Êt x©y dùng b»ng: « t« tù ®æ 10T, cù ly</t>
  </si>
  <si>
    <t>&lt;10km</t>
  </si>
  <si>
    <t>75</t>
  </si>
  <si>
    <t>AM.24711</t>
  </si>
  <si>
    <t>V/C gç c¸c lo¹i b»ng: « t« t¶i thïng 7T, cù ly</t>
  </si>
  <si>
    <t>10tÊn/km</t>
  </si>
  <si>
    <t>&lt;1km</t>
  </si>
  <si>
    <t>76</t>
  </si>
  <si>
    <t>AM.24121</t>
  </si>
  <si>
    <t>V/C g¹ch x©y c¸c lo¹i b»ng: « t« t¶i thïng 12T,</t>
  </si>
  <si>
    <t>cù ly &lt;1km</t>
  </si>
  <si>
    <t xml:space="preserve">   - ¤ t« vËn t¶i thïng 12T</t>
  </si>
  <si>
    <t>77</t>
  </si>
  <si>
    <t>AM.24122</t>
  </si>
  <si>
    <t>cù ly &lt;10km</t>
  </si>
  <si>
    <t xml:space="preserve">   A5</t>
  </si>
  <si>
    <t>A5</t>
  </si>
  <si>
    <t xml:space="preserve">   A4</t>
  </si>
  <si>
    <t>A4</t>
  </si>
  <si>
    <t xml:space="preserve">   A3</t>
  </si>
  <si>
    <t>A3</t>
  </si>
  <si>
    <t xml:space="preserve">   A2</t>
  </si>
  <si>
    <t>A2</t>
  </si>
  <si>
    <t xml:space="preserve">   A1</t>
  </si>
  <si>
    <t>A1</t>
  </si>
  <si>
    <t xml:space="preserve"> G+VAT</t>
  </si>
  <si>
    <t>Gxd</t>
  </si>
  <si>
    <t>+ Chi phÝ x©y dùng sau thuÕ</t>
  </si>
  <si>
    <t>.</t>
  </si>
  <si>
    <t xml:space="preserve"> G*8%</t>
  </si>
  <si>
    <t>VAT</t>
  </si>
  <si>
    <t>+ ThuÕ gi¸ trÞ gia t¨ng</t>
  </si>
  <si>
    <t xml:space="preserve"> T+GT+TL</t>
  </si>
  <si>
    <t>G</t>
  </si>
  <si>
    <t xml:space="preserve"> - Chi phÝ x©y dùng tr­íc thuÕ</t>
  </si>
  <si>
    <t>*</t>
  </si>
  <si>
    <t xml:space="preserve"> (T+GT)*5.50%</t>
  </si>
  <si>
    <t>TL</t>
  </si>
  <si>
    <t>+ Thu nhËp chÞu thuÕ tÝnh tr­íc</t>
  </si>
  <si>
    <t xml:space="preserve"> T*2.50%</t>
  </si>
  <si>
    <t>TT</t>
  </si>
  <si>
    <t xml:space="preserve">   Chi phÝ c«ng viÖc kh«ng x¸c ®Þnh KLTK</t>
  </si>
  <si>
    <t xml:space="preserve"> T*1.10%</t>
  </si>
  <si>
    <t>LT</t>
  </si>
  <si>
    <t xml:space="preserve">   Chi phÝ nhµ t¹m, nhµ ®iÒu hµnh thi c«ng</t>
  </si>
  <si>
    <t xml:space="preserve"> T*7.30%</t>
  </si>
  <si>
    <t>C</t>
  </si>
  <si>
    <t xml:space="preserve">   Chi phÝ chung</t>
  </si>
  <si>
    <t xml:space="preserve"> C+LT+TT</t>
  </si>
  <si>
    <t>GT</t>
  </si>
  <si>
    <t>+ Chi phÝ gi¸n tiÕp</t>
  </si>
  <si>
    <t xml:space="preserve">   M</t>
  </si>
  <si>
    <t>M</t>
  </si>
  <si>
    <t xml:space="preserve">   Chi phÝ m¸y thi c«ng</t>
  </si>
  <si>
    <t xml:space="preserve">   NC</t>
  </si>
  <si>
    <t>NC</t>
  </si>
  <si>
    <t xml:space="preserve">   Chi phÝ nh©n c«ng</t>
  </si>
  <si>
    <t xml:space="preserve">   VL</t>
  </si>
  <si>
    <t>VL</t>
  </si>
  <si>
    <t xml:space="preserve">   Chi phÝ vËt liÖu</t>
  </si>
  <si>
    <t xml:space="preserve"> VL+NC+M</t>
  </si>
  <si>
    <t>T</t>
  </si>
  <si>
    <t>+ Chi phÝ trùc tiÕp</t>
  </si>
  <si>
    <t xml:space="preserve"> 5</t>
  </si>
  <si>
    <t xml:space="preserve"> 4</t>
  </si>
  <si>
    <t xml:space="preserve"> 3</t>
  </si>
  <si>
    <t xml:space="preserve"> 2</t>
  </si>
  <si>
    <t xml:space="preserve"> 1</t>
  </si>
  <si>
    <t xml:space="preserve"> 51</t>
  </si>
  <si>
    <t xml:space="preserve"> 50</t>
  </si>
  <si>
    <t xml:space="preserve"> 49</t>
  </si>
  <si>
    <t xml:space="preserve"> 48</t>
  </si>
  <si>
    <t xml:space="preserve"> 47</t>
  </si>
  <si>
    <t xml:space="preserve"> 46</t>
  </si>
  <si>
    <t xml:space="preserve"> 45</t>
  </si>
  <si>
    <t xml:space="preserve"> 44</t>
  </si>
  <si>
    <t xml:space="preserve"> 43</t>
  </si>
  <si>
    <t xml:space="preserve"> 42</t>
  </si>
  <si>
    <t>+)vËn chuyÓn</t>
  </si>
  <si>
    <t xml:space="preserve"> 41</t>
  </si>
  <si>
    <t xml:space="preserve"> 40</t>
  </si>
  <si>
    <t xml:space="preserve"> 39</t>
  </si>
  <si>
    <t xml:space="preserve"> 38</t>
  </si>
  <si>
    <t xml:space="preserve"> 16</t>
  </si>
  <si>
    <t xml:space="preserve">  7</t>
  </si>
  <si>
    <t xml:space="preserve"> 37</t>
  </si>
  <si>
    <t xml:space="preserve"> 36</t>
  </si>
  <si>
    <t xml:space="preserve"> 35</t>
  </si>
  <si>
    <t xml:space="preserve"> 34</t>
  </si>
  <si>
    <t xml:space="preserve">  6</t>
  </si>
  <si>
    <t xml:space="preserve"> 33</t>
  </si>
  <si>
    <t xml:space="preserve">  4</t>
  </si>
  <si>
    <t xml:space="preserve"> 32</t>
  </si>
  <si>
    <t xml:space="preserve"> 31</t>
  </si>
  <si>
    <t>+) M­¬ng tho¸t n­íc</t>
  </si>
  <si>
    <t xml:space="preserve"> 30</t>
  </si>
  <si>
    <t xml:space="preserve"> 29</t>
  </si>
  <si>
    <t xml:space="preserve"> 28</t>
  </si>
  <si>
    <t xml:space="preserve"> 18</t>
  </si>
  <si>
    <t xml:space="preserve"> 27</t>
  </si>
  <si>
    <t xml:space="preserve"> 26</t>
  </si>
  <si>
    <t xml:space="preserve"> 25</t>
  </si>
  <si>
    <t>+) Khu vÖ sinh</t>
  </si>
  <si>
    <t xml:space="preserve"> 24</t>
  </si>
  <si>
    <t xml:space="preserve"> 23</t>
  </si>
  <si>
    <t xml:space="preserve"> 22</t>
  </si>
  <si>
    <t xml:space="preserve"> 21</t>
  </si>
  <si>
    <t xml:space="preserve">  1</t>
  </si>
  <si>
    <t xml:space="preserve"> 20</t>
  </si>
  <si>
    <t xml:space="preserve"> 14</t>
  </si>
  <si>
    <t xml:space="preserve"> 13</t>
  </si>
  <si>
    <t xml:space="preserve"> 19</t>
  </si>
  <si>
    <t xml:space="preserve">  9</t>
  </si>
  <si>
    <t xml:space="preserve"> 17</t>
  </si>
  <si>
    <t xml:space="preserve"> 15</t>
  </si>
  <si>
    <t xml:space="preserve"> 12</t>
  </si>
  <si>
    <t xml:space="preserve"> 11</t>
  </si>
  <si>
    <t xml:space="preserve"> 10</t>
  </si>
  <si>
    <t>+) Nhµ häc 2 phßng</t>
  </si>
  <si>
    <t xml:space="preserve">  8</t>
  </si>
  <si>
    <t xml:space="preserve">  5</t>
  </si>
  <si>
    <t xml:space="preserve">  3</t>
  </si>
  <si>
    <t xml:space="preserve">  2</t>
  </si>
  <si>
    <t>+) S©n nÒn bã vØa</t>
  </si>
  <si>
    <t>C- M¸y thi c«ng :</t>
  </si>
  <si>
    <t>B- Nh©n c«ng :</t>
  </si>
  <si>
    <t>%</t>
  </si>
  <si>
    <t xml:space="preserve">   - VËt liÖu kh¸c</t>
  </si>
  <si>
    <t>A- VËt liÖu :</t>
  </si>
  <si>
    <t xml:space="preserve"> B- Nh©n c«ng :</t>
  </si>
  <si>
    <t xml:space="preserve"> A- VËt liÖu :</t>
  </si>
  <si>
    <t xml:space="preserve"> C- M¸y thi c«ng :</t>
  </si>
  <si>
    <t xml:space="preserve">   - M¸y kh¸c</t>
  </si>
  <si>
    <t>madm</t>
  </si>
  <si>
    <t>1x2/4N4</t>
  </si>
  <si>
    <t>31*Diezel</t>
  </si>
  <si>
    <t>M106.0105</t>
  </si>
  <si>
    <t>25*Diezel</t>
  </si>
  <si>
    <t>M106.0104</t>
  </si>
  <si>
    <t>1x3/4N4</t>
  </si>
  <si>
    <t>41*Diezel</t>
  </si>
  <si>
    <t>M106.0107</t>
  </si>
  <si>
    <t>46*Diezel</t>
  </si>
  <si>
    <t>M106.0203</t>
  </si>
  <si>
    <t>57*Diezel</t>
  </si>
  <si>
    <t>M106.0204</t>
  </si>
  <si>
    <t>1x3/7N4</t>
  </si>
  <si>
    <t>4*Xang</t>
  </si>
  <si>
    <t>M101.0803</t>
  </si>
  <si>
    <t>7*KWh</t>
  </si>
  <si>
    <t>M112.1301</t>
  </si>
  <si>
    <t>5*KWh</t>
  </si>
  <si>
    <t>M112.1101</t>
  </si>
  <si>
    <t>1x4/7N4</t>
  </si>
  <si>
    <t>43*Diezel</t>
  </si>
  <si>
    <t>M101.0101</t>
  </si>
  <si>
    <t>8*KWh</t>
  </si>
  <si>
    <t>M104.0202</t>
  </si>
  <si>
    <t>11*KWh</t>
  </si>
  <si>
    <t>M104.0102</t>
  </si>
  <si>
    <t>9*KWh</t>
  </si>
  <si>
    <t>M112.2601</t>
  </si>
  <si>
    <t>3*KWh</t>
  </si>
  <si>
    <t>M112.2102</t>
  </si>
  <si>
    <t>273769.7</t>
  </si>
  <si>
    <t>252200.0</t>
  </si>
  <si>
    <t>239000.0</t>
  </si>
  <si>
    <t>230630.3</t>
  </si>
  <si>
    <t>218559.2</t>
  </si>
  <si>
    <t>C«ng tr×nh</t>
  </si>
  <si>
    <t xml:space="preserve">  AM.23113: « t« tù ®æ 7T, cù ly &lt;60km</t>
  </si>
  <si>
    <t xml:space="preserve">  AM.23112: « t« tù ®æ 7T, cù ly &lt;10km</t>
  </si>
  <si>
    <t>Tr­êng S¬n</t>
  </si>
  <si>
    <t xml:space="preserve">  AM.23111: « t« tù ®æ 7T, cù ly &lt;1km</t>
  </si>
  <si>
    <t xml:space="preserve">    14</t>
  </si>
  <si>
    <t>- §¸ d¨m 4x6</t>
  </si>
  <si>
    <t>- §¸ d¨m 1x2</t>
  </si>
  <si>
    <t xml:space="preserve">     0</t>
  </si>
  <si>
    <t>- §inh</t>
  </si>
  <si>
    <t>- Xi m¨ng tr¾ng</t>
  </si>
  <si>
    <t>- Xi m¨ng PCB40</t>
  </si>
  <si>
    <t>- Xi m¨ng PCB30</t>
  </si>
  <si>
    <t>- Xi m¨ng PC40</t>
  </si>
  <si>
    <t>- Xi m¨ng</t>
  </si>
  <si>
    <t>- TrÇn nhùa khung næi</t>
  </si>
  <si>
    <t>- ThÐp trßn d&lt;=10mm</t>
  </si>
  <si>
    <t>- S¬n phñ néi thÊt</t>
  </si>
  <si>
    <t>- S¬n phñ ngo¹i thÊt</t>
  </si>
  <si>
    <t>- S¬n phñ gç</t>
  </si>
  <si>
    <t>- S¬n lãt néi thÊt</t>
  </si>
  <si>
    <t>- S¬n lãt ngo¹i thÊt</t>
  </si>
  <si>
    <t>- S¬n lãt gç</t>
  </si>
  <si>
    <t>- Phô kiÖn cöa ®i 1 c¸nh nh«m xingfa ®ång bé</t>
  </si>
  <si>
    <t>- N­íc</t>
  </si>
  <si>
    <t>- Gç ®µ nÑp</t>
  </si>
  <si>
    <t>- Gç v¸n</t>
  </si>
  <si>
    <t>- Gç chèng</t>
  </si>
  <si>
    <t>- G¹ch Terrazo 300x300mm</t>
  </si>
  <si>
    <t>- G¹ch bª t«ng 9.5x6x20cm</t>
  </si>
  <si>
    <t>- G¹ch 600x600mm</t>
  </si>
  <si>
    <t>- D©y thÐp</t>
  </si>
  <si>
    <t>- Cöa ®i 1 c¸nh nh«m xingfa, kÝnh mê 6.38mm</t>
  </si>
  <si>
    <t xml:space="preserve">  AM.23222: « t« tù ®æ 10T, cù ly &lt;10km</t>
  </si>
  <si>
    <t>H­¬ng Trµ</t>
  </si>
  <si>
    <t xml:space="preserve">  AM.23221: « t« tù ®æ 10T, cù ly &lt;1km</t>
  </si>
  <si>
    <t xml:space="preserve">    10</t>
  </si>
  <si>
    <t>- C¸t vµng</t>
  </si>
  <si>
    <t>- C¸t mÞn Ml=1.5-2.0</t>
  </si>
  <si>
    <t>- C¸t mÞn Ml=0.7-1.4</t>
  </si>
  <si>
    <t>- ChËu xÝ xæm</t>
  </si>
  <si>
    <t>*C - XE MAY</t>
  </si>
  <si>
    <t>*B - NH¢N C¤NG</t>
  </si>
  <si>
    <t>*A - V¢T LI£U</t>
  </si>
  <si>
    <t>Céng hoµ x· héi chñ nghÜa ViÖt Nam</t>
  </si>
  <si>
    <t>§éc lËp - Tù do - H¹nh phóc</t>
  </si>
  <si>
    <t>=======@@@=======</t>
  </si>
  <si>
    <t>C«ng tr×nh: C¶I T¹O, SöA CH÷A TR¦êNG TIÓU HäC &amp; TRUNG HäC C¥ Së L£ QUANG BÝNH</t>
  </si>
  <si>
    <t>§ÞA §IÓM: X· H¦¥NG B×NH, THÞ X· H¦¥NG TRµ</t>
  </si>
  <si>
    <t>H¹ng môc chi phÝ</t>
  </si>
  <si>
    <t>Ký
hiÖu</t>
  </si>
  <si>
    <t>C¸ch tÝnh</t>
  </si>
  <si>
    <t>Thµnh tiÒn
sau thuÕ</t>
  </si>
  <si>
    <t>B¶ng tæng hîp chi phÝ x©y l¾p</t>
  </si>
  <si>
    <t>Thµnh tiÒn</t>
  </si>
  <si>
    <t>B¶ng dù to¸n chi tiÕt</t>
  </si>
  <si>
    <t>§¬n gi¸</t>
  </si>
  <si>
    <t>Sè hiÖu
®Þnh møc</t>
  </si>
  <si>
    <t>H¹ng môc c«ng t¸c</t>
  </si>
  <si>
    <t>§¬n
vÞ</t>
  </si>
  <si>
    <t>Khèi
l­îng</t>
  </si>
  <si>
    <t>VËt liÖu</t>
  </si>
  <si>
    <t>Nh©n c«ng</t>
  </si>
  <si>
    <t>Ca m¸y</t>
  </si>
  <si>
    <t>M¸y thi c«ng</t>
  </si>
  <si>
    <t>B¶ng ph©n tÝch ®¬n gi¸</t>
  </si>
  <si>
    <t>Sè hiÖu
§Þnh møc</t>
  </si>
  <si>
    <t>§¬n 
vÞ</t>
  </si>
  <si>
    <t>§Þnh møc</t>
  </si>
  <si>
    <t>B¶ng gi¸ nh©n c«ng vµ ca m¸y</t>
  </si>
  <si>
    <t>TT
M· m¸y</t>
  </si>
  <si>
    <t>Lo¹i nh©n c«ng
&amp; M¸y thi c«ng</t>
  </si>
  <si>
    <t>§¬n 
VÞ</t>
  </si>
  <si>
    <t>Sè
Ca/
n¨m</t>
  </si>
  <si>
    <t>§m
KhÊu
hao</t>
  </si>
  <si>
    <t>§m
S÷a
ch÷a</t>
  </si>
  <si>
    <t>§m
C.phÝ
kh¸c</t>
  </si>
  <si>
    <t>§Þnh møc
nhiªn liÖu</t>
  </si>
  <si>
    <t>Thµnh phÇn
bËc thî</t>
  </si>
  <si>
    <t>Gi¸ tÝnh
khÊu hao
(1000 ®)</t>
  </si>
  <si>
    <t>Chi phÝ
khÊu hao
VN§</t>
  </si>
  <si>
    <t>Chi phÝ
s÷a ch÷a
VN§</t>
  </si>
  <si>
    <t>Chi phÝ
nh. liÖu
n.l­îng</t>
  </si>
  <si>
    <t>Chi phÝ
l­¬ng
thî m¸y</t>
  </si>
  <si>
    <t>Chi phÝ
kh¸c
VN§</t>
  </si>
  <si>
    <t>§¬n gi¸
1 c«ng vµ
1 ca m¸y</t>
  </si>
  <si>
    <t>B¶ng tÝnh gi¸ vËt liÖu ®Õn ch©n c«ng tr×nh</t>
  </si>
  <si>
    <t>Tªn vËt liÖu</t>
  </si>
  <si>
    <t>§iÓm ®Çu</t>
  </si>
  <si>
    <t>§iÓm cuèi</t>
  </si>
  <si>
    <t>BËc
hµng</t>
  </si>
  <si>
    <t>Lo¹i
®­êng</t>
  </si>
  <si>
    <t>Cù
ly
lÎ</t>
  </si>
  <si>
    <t>Tæng
cù ly</t>
  </si>
  <si>
    <t>C­íc
vËn chuyÓn</t>
  </si>
  <si>
    <t>HÖ sè
®c.bËc
hµng</t>
  </si>
  <si>
    <t>HÖ sè
träng 
l­îng</t>
  </si>
  <si>
    <t>HÖ sè
n©ng
h¹ben</t>
  </si>
  <si>
    <t>Gi¸ c­íc
vËn chuyÓn</t>
  </si>
  <si>
    <t>C­íc
bèc dì</t>
  </si>
  <si>
    <t>Gi¸ th¸ng</t>
  </si>
  <si>
    <t>Gi¸ thµnh</t>
  </si>
  <si>
    <t>B¶ng tÝnh khèi l­îng - tiªn l­îng</t>
  </si>
  <si>
    <t>Sè
l­îng</t>
  </si>
  <si>
    <t>Dµi</t>
  </si>
  <si>
    <t>Réng</t>
  </si>
  <si>
    <t>Cao</t>
  </si>
  <si>
    <t>Sè phô</t>
  </si>
  <si>
    <t>C«ng thøc</t>
  </si>
  <si>
    <t>Khèi l­îng
chi tiÕt</t>
  </si>
  <si>
    <t>B¶ng tæng hîp khèi l­îng vµ chi phÝ VL,NC,M</t>
  </si>
  <si>
    <t>Lo¹i vËt liÖu...</t>
  </si>
  <si>
    <t>Khèi l­îng</t>
  </si>
  <si>
    <t>B¶ng ph©n tÝch khèi l­îng</t>
  </si>
  <si>
    <t>1.</t>
  </si>
  <si>
    <t>Chi phÝ x©y dùng:</t>
  </si>
  <si>
    <t>G1</t>
  </si>
  <si>
    <t xml:space="preserve"> A1+...+A2       </t>
  </si>
  <si>
    <t>2.</t>
  </si>
  <si>
    <t>Chi phÝ qu¶n lý dù ¸n:</t>
  </si>
  <si>
    <t>G2</t>
  </si>
  <si>
    <t>G1/1.08*3.446%</t>
  </si>
  <si>
    <t>Chi phÝ t­ vÊn ®Çu t­ x©y dùng:</t>
  </si>
  <si>
    <t>G3</t>
  </si>
  <si>
    <t xml:space="preserve"> TV1+...+TV5</t>
  </si>
  <si>
    <t xml:space="preserve">  - Chi phÝ kh¶o s¸t ®Þa h×nh</t>
  </si>
  <si>
    <t>TV1</t>
  </si>
  <si>
    <t xml:space="preserve">  - Chi phÝ lËp b¸o c¸o KTKT</t>
  </si>
  <si>
    <t>TV2</t>
  </si>
  <si>
    <t xml:space="preserve">  G1*6.5%</t>
  </si>
  <si>
    <t xml:space="preserve">  - ThÈm tra thiÕt kÕ c«ng tr×nh</t>
  </si>
  <si>
    <t>TV3</t>
  </si>
  <si>
    <t xml:space="preserve">  - ThÈm tra dù to¸n c«ng tr×nh</t>
  </si>
  <si>
    <t>TV4</t>
  </si>
  <si>
    <t xml:space="preserve">  - Gi¸m s¸t thi c«ng x©y dùng</t>
  </si>
  <si>
    <t>TV5</t>
  </si>
  <si>
    <t xml:space="preserve">  G1*3.285%</t>
  </si>
  <si>
    <t>Chi phÝ kh¸c:</t>
  </si>
  <si>
    <t>G4</t>
  </si>
  <si>
    <t xml:space="preserve">  - Chi phÝ thÈm ®Þnh b¸o c¸o KTKT</t>
  </si>
  <si>
    <t>K1</t>
  </si>
  <si>
    <t xml:space="preserve"> Tèi thiÓu</t>
  </si>
  <si>
    <t xml:space="preserve">  - Chi phÝ b¶o hiÓm c«ng tr×nh</t>
  </si>
  <si>
    <t>K2</t>
  </si>
  <si>
    <t xml:space="preserve">  G1*0.08%</t>
  </si>
  <si>
    <t xml:space="preserve">  - Chi phÝ thÈm tra phª duyÖt quyÕt to¸n</t>
  </si>
  <si>
    <t>K3</t>
  </si>
  <si>
    <t xml:space="preserve">  (G-G5)*0.57%</t>
  </si>
  <si>
    <t>Chi phÝ dù phßng</t>
  </si>
  <si>
    <t>G5</t>
  </si>
  <si>
    <t xml:space="preserve">  - Chi phÝ thÈm ®Þnh gi¸</t>
  </si>
  <si>
    <t>K4</t>
  </si>
  <si>
    <t xml:space="preserve"> T¹m tÝnh</t>
  </si>
  <si>
    <t xml:space="preserve"> G1*0.258%*1.2</t>
  </si>
  <si>
    <t xml:space="preserve"> G1*0.25%*1.2</t>
  </si>
  <si>
    <t xml:space="preserve"> K1+...+K4</t>
  </si>
  <si>
    <t>S¬n dầu 2 n­íc</t>
  </si>
  <si>
    <t>S¬n dÇu 2 n­íc</t>
  </si>
  <si>
    <t>T¹m tÝnh</t>
  </si>
  <si>
    <t>Tæng céng(1+2+3+4+5+6)</t>
  </si>
  <si>
    <t>G6</t>
  </si>
  <si>
    <t xml:space="preserve"> G1+...+G6</t>
  </si>
  <si>
    <t xml:space="preserve">  §· thÈm tra</t>
  </si>
  <si>
    <t>Chi phÝ thiÕt bÞ PCCC:</t>
  </si>
  <si>
    <t xml:space="preserve">  -1-PhÇn s©n nÒn, bã vØa</t>
  </si>
  <si>
    <t xml:space="preserve">  -2-Nhµ häc 2 phßng 01</t>
  </si>
  <si>
    <t xml:space="preserve">  -3-Nhµ häc 2 phßng 02</t>
  </si>
  <si>
    <t xml:space="preserve">  -4-Khu vùc vÖ sinh</t>
  </si>
  <si>
    <t xml:space="preserve">  -5-M­¬ng tho¸t n­íc</t>
  </si>
  <si>
    <t xml:space="preserve">KẾ HOẠCH LỰA CHỌN NHÀ THẦU </t>
  </si>
  <si>
    <t>(Kèm theo Quyết định số        /QĐ-UBND ngày         /      /2023 của UBND thị xã Hương Trà)</t>
  </si>
  <si>
    <t>Stt</t>
  </si>
  <si>
    <t>Tên gói thầu</t>
  </si>
  <si>
    <t>Giá gói thầu
(1000 đồng)</t>
  </si>
  <si>
    <t>Nguồn vốn</t>
  </si>
  <si>
    <t>Hình thức lựa chọn nhà thầu</t>
  </si>
  <si>
    <t>Phương thức lựa chọn nhà thầu</t>
  </si>
  <si>
    <t>Thời gian bắt đầu tổ chức lựa chọn nhà thầu</t>
  </si>
  <si>
    <t>Loại hợp đồng</t>
  </si>
  <si>
    <t>Thời gian thực hiện hợp đồng</t>
  </si>
  <si>
    <t>I</t>
  </si>
  <si>
    <t>Phần công việc đã thực hiện</t>
  </si>
  <si>
    <t>Gói thầu số 01: Khảo sát, lập báo cáo kinh tế kỹ thuật</t>
  </si>
  <si>
    <t>Đã thực hiện</t>
  </si>
  <si>
    <t>Gói thầu số 02: Thẩm tra thiết kế BVTC và dự toán</t>
  </si>
  <si>
    <t>II</t>
  </si>
  <si>
    <t>Phần công việc thuộc kế hoạch lựa chọn nhà thầu</t>
  </si>
  <si>
    <t>Chỉ định thầu</t>
  </si>
  <si>
    <t>Quý III/2023</t>
  </si>
  <si>
    <t>Trọn gói</t>
  </si>
  <si>
    <t>60 ngày</t>
  </si>
  <si>
    <t xml:space="preserve">Gói thầu số 04: Giám sát thi công </t>
  </si>
  <si>
    <t>Gói thầu số 05: Bảo hiểm công trình</t>
  </si>
  <si>
    <t>III</t>
  </si>
  <si>
    <t>Phần công việc không áp dụng được một trong các hình thức lựa chọn nhà thầu</t>
  </si>
  <si>
    <t>Quản lý dự án; Thẩm định BCKTKT; Thẩm tra phê duyệt quyết toán</t>
  </si>
  <si>
    <t>Chủ đầu tư và các cơ quan liên quan thực hiện</t>
  </si>
  <si>
    <t>IV</t>
  </si>
  <si>
    <t>Dự phòng</t>
  </si>
  <si>
    <t>Tổng cộng</t>
  </si>
  <si>
    <t>BẢNG TỔNG MỨC ĐẦU TƯ</t>
  </si>
  <si>
    <t>ĐVT: đồng.</t>
  </si>
  <si>
    <t>Gói thầu số 03: Toàn bộ phần xây lắp+Thiết bị</t>
  </si>
  <si>
    <t>Bổ sung có mục tiêu của tỉnh 1.300 triệu đồng, phần còn lại ngân sách xã Hương Bình</t>
  </si>
  <si>
    <t>DPP</t>
  </si>
  <si>
    <t>(Kèm theo Quyết định số 2003/QĐ-UBND ngày 15/ 9/2023 của UBND thị xã Hương Trà)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</si>
</sst>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71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12"/>
      <name val=".VnTimeH"/>
      <family val="2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u val="single"/>
      <sz val="12"/>
      <color indexed="25"/>
      <name val=".VnTime"/>
      <family val="2"/>
    </font>
    <font>
      <sz val="12"/>
      <color indexed="17"/>
      <name val=".VnTime"/>
      <family val="2"/>
    </font>
    <font>
      <b/>
      <sz val="15"/>
      <color indexed="54"/>
      <name val=".VnTime"/>
      <family val="2"/>
    </font>
    <font>
      <b/>
      <sz val="13"/>
      <color indexed="54"/>
      <name val=".VnTime"/>
      <family val="2"/>
    </font>
    <font>
      <b/>
      <sz val="11"/>
      <color indexed="54"/>
      <name val=".VnTime"/>
      <family val="2"/>
    </font>
    <font>
      <u val="single"/>
      <sz val="12"/>
      <color indexed="30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sz val="18"/>
      <color indexed="54"/>
      <name val="Calibri Light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1"/>
      <color indexed="8"/>
      <name val=".VnTimeH"/>
      <family val="2"/>
    </font>
    <font>
      <sz val="11"/>
      <color indexed="8"/>
      <name val=".VnArial Narrow"/>
      <family val="2"/>
    </font>
    <font>
      <b/>
      <sz val="11"/>
      <color indexed="8"/>
      <name val=".VnArial Narrow"/>
      <family val="2"/>
    </font>
    <font>
      <sz val="10"/>
      <color indexed="8"/>
      <name val=".VnArial Narrow"/>
      <family val="2"/>
    </font>
    <font>
      <b/>
      <sz val="10"/>
      <color indexed="8"/>
      <name val=".VnArial Narrow"/>
      <family val="2"/>
    </font>
    <font>
      <u val="single"/>
      <sz val="11"/>
      <color indexed="8"/>
      <name val=".VnArial Narrow"/>
      <family val="2"/>
    </font>
    <font>
      <b/>
      <sz val="9"/>
      <color indexed="8"/>
      <name val=".VnArial Narrow"/>
      <family val="2"/>
    </font>
    <font>
      <b/>
      <sz val="11"/>
      <color indexed="8"/>
      <name val=".VnTimeH"/>
      <family val="2"/>
    </font>
    <font>
      <b/>
      <sz val="13"/>
      <color indexed="8"/>
      <name val=".VnArialH"/>
      <family val="2"/>
    </font>
    <font>
      <b/>
      <i/>
      <sz val="12"/>
      <color indexed="8"/>
      <name val=".VnTime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u val="single"/>
      <sz val="12"/>
      <color theme="11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sz val="18"/>
      <color theme="3"/>
      <name val="Calibri Light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1"/>
      <color theme="1"/>
      <name val=".VnTimeH"/>
      <family val="2"/>
    </font>
    <font>
      <sz val="11"/>
      <color theme="1"/>
      <name val=".VnArial Narrow"/>
      <family val="2"/>
    </font>
    <font>
      <b/>
      <sz val="11"/>
      <color theme="1"/>
      <name val=".VnArial Narrow"/>
      <family val="2"/>
    </font>
    <font>
      <sz val="10"/>
      <color theme="1"/>
      <name val=".VnArial Narrow"/>
      <family val="2"/>
    </font>
    <font>
      <b/>
      <sz val="10"/>
      <color theme="1"/>
      <name val=".VnArial Narrow"/>
      <family val="2"/>
    </font>
    <font>
      <u val="single"/>
      <sz val="11"/>
      <color theme="1"/>
      <name val=".VnArial Narrow"/>
      <family val="2"/>
    </font>
    <font>
      <b/>
      <sz val="9"/>
      <color theme="1"/>
      <name val=".VnArial Narrow"/>
      <family val="2"/>
    </font>
    <font>
      <i/>
      <sz val="13"/>
      <color theme="1"/>
      <name val="Times New Roman"/>
      <family val="1"/>
    </font>
    <font>
      <i/>
      <sz val="12"/>
      <color theme="1"/>
      <name val=".VnTime"/>
      <family val="2"/>
    </font>
    <font>
      <b/>
      <sz val="13"/>
      <color theme="1"/>
      <name val="Times New Roman"/>
      <family val="1"/>
    </font>
    <font>
      <b/>
      <sz val="11"/>
      <color theme="1"/>
      <name val=".VnTimeH"/>
      <family val="2"/>
    </font>
    <font>
      <b/>
      <sz val="13"/>
      <color theme="1"/>
      <name val=".VnArialH"/>
      <family val="2"/>
    </font>
    <font>
      <b/>
      <i/>
      <sz val="12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65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3" fontId="56" fillId="0" borderId="12" xfId="0" applyNumberFormat="1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3" fontId="56" fillId="0" borderId="20" xfId="0" applyNumberFormat="1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3" fontId="56" fillId="0" borderId="21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165" fontId="59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60" fillId="0" borderId="0" xfId="0" applyFont="1" applyAlignment="1">
      <alignment/>
    </xf>
    <xf numFmtId="165" fontId="60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165" fontId="59" fillId="0" borderId="11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165" fontId="60" fillId="0" borderId="14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3" fontId="60" fillId="0" borderId="15" xfId="0" applyNumberFormat="1" applyFont="1" applyBorder="1" applyAlignment="1">
      <alignment/>
    </xf>
    <xf numFmtId="164" fontId="59" fillId="0" borderId="0" xfId="0" applyNumberFormat="1" applyFont="1" applyAlignment="1">
      <alignment horizontal="right"/>
    </xf>
    <xf numFmtId="164" fontId="60" fillId="0" borderId="14" xfId="0" applyNumberFormat="1" applyFont="1" applyBorder="1" applyAlignment="1">
      <alignment horizontal="right"/>
    </xf>
    <xf numFmtId="164" fontId="6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56" fillId="0" borderId="12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6" fontId="56" fillId="0" borderId="0" xfId="0" applyNumberFormat="1" applyFont="1" applyAlignment="1">
      <alignment/>
    </xf>
    <xf numFmtId="166" fontId="56" fillId="0" borderId="19" xfId="0" applyNumberFormat="1" applyFont="1" applyBorder="1" applyAlignment="1">
      <alignment horizontal="center" vertical="center"/>
    </xf>
    <xf numFmtId="165" fontId="56" fillId="0" borderId="19" xfId="0" applyNumberFormat="1" applyFont="1" applyBorder="1" applyAlignment="1">
      <alignment horizontal="center" vertical="center"/>
    </xf>
    <xf numFmtId="165" fontId="56" fillId="0" borderId="21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165" fontId="61" fillId="0" borderId="0" xfId="0" applyNumberFormat="1" applyFont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4" fontId="61" fillId="0" borderId="11" xfId="0" applyNumberFormat="1" applyFont="1" applyBorder="1" applyAlignment="1">
      <alignment/>
    </xf>
    <xf numFmtId="165" fontId="61" fillId="0" borderId="11" xfId="0" applyNumberFormat="1" applyFont="1" applyBorder="1" applyAlignment="1">
      <alignment/>
    </xf>
    <xf numFmtId="165" fontId="61" fillId="0" borderId="12" xfId="0" applyNumberFormat="1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3" fontId="61" fillId="0" borderId="14" xfId="0" applyNumberFormat="1" applyFont="1" applyBorder="1" applyAlignment="1">
      <alignment/>
    </xf>
    <xf numFmtId="4" fontId="61" fillId="0" borderId="14" xfId="0" applyNumberFormat="1" applyFont="1" applyBorder="1" applyAlignment="1">
      <alignment/>
    </xf>
    <xf numFmtId="165" fontId="61" fillId="0" borderId="14" xfId="0" applyNumberFormat="1" applyFont="1" applyBorder="1" applyAlignment="1">
      <alignment/>
    </xf>
    <xf numFmtId="165" fontId="61" fillId="0" borderId="15" xfId="0" applyNumberFormat="1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3" fontId="61" fillId="0" borderId="17" xfId="0" applyNumberFormat="1" applyFont="1" applyBorder="1" applyAlignment="1">
      <alignment/>
    </xf>
    <xf numFmtId="4" fontId="61" fillId="0" borderId="17" xfId="0" applyNumberFormat="1" applyFont="1" applyBorder="1" applyAlignment="1">
      <alignment/>
    </xf>
    <xf numFmtId="165" fontId="61" fillId="0" borderId="17" xfId="0" applyNumberFormat="1" applyFont="1" applyBorder="1" applyAlignment="1">
      <alignment/>
    </xf>
    <xf numFmtId="165" fontId="61" fillId="0" borderId="20" xfId="0" applyNumberFormat="1" applyFont="1" applyBorder="1" applyAlignment="1">
      <alignment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165" fontId="62" fillId="0" borderId="0" xfId="0" applyNumberFormat="1" applyFont="1" applyAlignment="1">
      <alignment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165" fontId="62" fillId="0" borderId="19" xfId="0" applyNumberFormat="1" applyFont="1" applyBorder="1" applyAlignment="1">
      <alignment horizontal="center" vertical="center" wrapText="1"/>
    </xf>
    <xf numFmtId="165" fontId="62" fillId="0" borderId="21" xfId="0" applyNumberFormat="1" applyFont="1" applyBorder="1" applyAlignment="1">
      <alignment horizontal="center" vertical="center" wrapText="1"/>
    </xf>
    <xf numFmtId="4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0" borderId="23" xfId="0" applyFont="1" applyBorder="1" applyAlignment="1">
      <alignment/>
    </xf>
    <xf numFmtId="4" fontId="59" fillId="0" borderId="23" xfId="0" applyNumberFormat="1" applyFont="1" applyBorder="1" applyAlignment="1">
      <alignment/>
    </xf>
    <xf numFmtId="165" fontId="63" fillId="0" borderId="11" xfId="0" applyNumberFormat="1" applyFont="1" applyBorder="1" applyAlignment="1">
      <alignment/>
    </xf>
    <xf numFmtId="165" fontId="63" fillId="0" borderId="12" xfId="0" applyNumberFormat="1" applyFont="1" applyBorder="1" applyAlignment="1">
      <alignment/>
    </xf>
    <xf numFmtId="165" fontId="59" fillId="0" borderId="12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165" fontId="59" fillId="0" borderId="14" xfId="0" applyNumberFormat="1" applyFont="1" applyBorder="1" applyAlignment="1">
      <alignment/>
    </xf>
    <xf numFmtId="165" fontId="59" fillId="0" borderId="15" xfId="0" applyNumberFormat="1" applyFont="1" applyBorder="1" applyAlignment="1">
      <alignment/>
    </xf>
    <xf numFmtId="0" fontId="59" fillId="0" borderId="0" xfId="0" applyFont="1" applyAlignment="1">
      <alignment horizontal="right"/>
    </xf>
    <xf numFmtId="0" fontId="59" fillId="0" borderId="11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4" fontId="59" fillId="0" borderId="0" xfId="0" applyNumberFormat="1" applyFont="1" applyAlignment="1">
      <alignment horizontal="center"/>
    </xf>
    <xf numFmtId="4" fontId="59" fillId="0" borderId="11" xfId="0" applyNumberFormat="1" applyFont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 horizontal="right"/>
    </xf>
    <xf numFmtId="165" fontId="59" fillId="0" borderId="17" xfId="0" applyNumberFormat="1" applyFont="1" applyBorder="1" applyAlignment="1">
      <alignment/>
    </xf>
    <xf numFmtId="4" fontId="59" fillId="0" borderId="17" xfId="0" applyNumberFormat="1" applyFont="1" applyBorder="1" applyAlignment="1">
      <alignment horizontal="center"/>
    </xf>
    <xf numFmtId="165" fontId="63" fillId="0" borderId="17" xfId="0" applyNumberFormat="1" applyFont="1" applyBorder="1" applyAlignment="1">
      <alignment/>
    </xf>
    <xf numFmtId="165" fontId="63" fillId="0" borderId="20" xfId="0" applyNumberFormat="1" applyFont="1" applyBorder="1" applyAlignment="1">
      <alignment/>
    </xf>
    <xf numFmtId="0" fontId="60" fillId="0" borderId="0" xfId="0" applyFont="1" applyAlignment="1">
      <alignment horizontal="right"/>
    </xf>
    <xf numFmtId="4" fontId="60" fillId="0" borderId="0" xfId="0" applyNumberFormat="1" applyFont="1" applyAlignment="1">
      <alignment horizontal="center"/>
    </xf>
    <xf numFmtId="0" fontId="64" fillId="0" borderId="19" xfId="0" applyFont="1" applyBorder="1" applyAlignment="1">
      <alignment horizontal="center" vertical="center" wrapText="1"/>
    </xf>
    <xf numFmtId="165" fontId="64" fillId="0" borderId="19" xfId="0" applyNumberFormat="1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165" fontId="60" fillId="0" borderId="19" xfId="0" applyNumberFormat="1" applyFont="1" applyBorder="1" applyAlignment="1">
      <alignment horizontal="center" vertical="center" wrapText="1"/>
    </xf>
    <xf numFmtId="165" fontId="60" fillId="0" borderId="19" xfId="0" applyNumberFormat="1" applyFont="1" applyBorder="1" applyAlignment="1">
      <alignment horizontal="center" vertical="center"/>
    </xf>
    <xf numFmtId="165" fontId="60" fillId="0" borderId="21" xfId="0" applyNumberFormat="1" applyFont="1" applyBorder="1" applyAlignment="1">
      <alignment horizontal="center" vertical="center"/>
    </xf>
    <xf numFmtId="4" fontId="59" fillId="0" borderId="0" xfId="0" applyNumberFormat="1" applyFont="1" applyAlignment="1">
      <alignment horizontal="right"/>
    </xf>
    <xf numFmtId="4" fontId="59" fillId="0" borderId="23" xfId="0" applyNumberFormat="1" applyFont="1" applyBorder="1" applyAlignment="1">
      <alignment horizontal="right"/>
    </xf>
    <xf numFmtId="164" fontId="59" fillId="0" borderId="24" xfId="0" applyNumberFormat="1" applyFont="1" applyBorder="1" applyAlignment="1">
      <alignment horizontal="right"/>
    </xf>
    <xf numFmtId="4" fontId="60" fillId="0" borderId="0" xfId="0" applyNumberFormat="1" applyFont="1" applyAlignment="1">
      <alignment horizontal="right"/>
    </xf>
    <xf numFmtId="4" fontId="60" fillId="0" borderId="0" xfId="0" applyNumberFormat="1" applyFont="1" applyAlignment="1">
      <alignment/>
    </xf>
    <xf numFmtId="4" fontId="6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/>
    </xf>
    <xf numFmtId="164" fontId="60" fillId="0" borderId="2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56" fillId="0" borderId="11" xfId="0" applyNumberFormat="1" applyFont="1" applyBorder="1" applyAlignment="1">
      <alignment/>
    </xf>
    <xf numFmtId="4" fontId="56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4" fontId="56" fillId="0" borderId="20" xfId="0" applyNumberFormat="1" applyFont="1" applyBorder="1" applyAlignment="1">
      <alignment/>
    </xf>
    <xf numFmtId="4" fontId="56" fillId="0" borderId="19" xfId="0" applyNumberFormat="1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56" fillId="0" borderId="11" xfId="0" applyNumberFormat="1" applyFont="1" applyBorder="1" applyAlignment="1">
      <alignment/>
    </xf>
    <xf numFmtId="164" fontId="56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56" fillId="0" borderId="17" xfId="0" applyNumberFormat="1" applyFont="1" applyBorder="1" applyAlignment="1">
      <alignment/>
    </xf>
    <xf numFmtId="164" fontId="56" fillId="0" borderId="20" xfId="0" applyNumberFormat="1" applyFont="1" applyBorder="1" applyAlignment="1">
      <alignment/>
    </xf>
    <xf numFmtId="164" fontId="56" fillId="0" borderId="19" xfId="0" applyNumberFormat="1" applyFont="1" applyBorder="1" applyAlignment="1">
      <alignment horizontal="center" vertical="center"/>
    </xf>
    <xf numFmtId="164" fontId="56" fillId="0" borderId="2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58" fillId="0" borderId="0" xfId="0" applyNumberFormat="1" applyFont="1" applyAlignment="1">
      <alignment/>
    </xf>
    <xf numFmtId="3" fontId="0" fillId="0" borderId="25" xfId="0" applyNumberFormat="1" applyFont="1" applyBorder="1" applyAlignment="1">
      <alignment/>
    </xf>
    <xf numFmtId="3" fontId="56" fillId="0" borderId="25" xfId="0" applyNumberFormat="1" applyFont="1" applyBorder="1" applyAlignment="1">
      <alignment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3" fontId="56" fillId="0" borderId="2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2" xfId="0" applyNumberForma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center"/>
    </xf>
    <xf numFmtId="3" fontId="56" fillId="0" borderId="15" xfId="0" applyNumberFormat="1" applyFont="1" applyBorder="1" applyAlignment="1">
      <alignment/>
    </xf>
    <xf numFmtId="165" fontId="59" fillId="33" borderId="11" xfId="0" applyNumberFormat="1" applyFont="1" applyFill="1" applyBorder="1" applyAlignment="1">
      <alignment/>
    </xf>
    <xf numFmtId="165" fontId="60" fillId="33" borderId="29" xfId="0" applyNumberFormat="1" applyFont="1" applyFill="1" applyBorder="1" applyAlignment="1">
      <alignment horizontal="center" vertical="center"/>
    </xf>
    <xf numFmtId="3" fontId="60" fillId="33" borderId="29" xfId="0" applyNumberFormat="1" applyFont="1" applyFill="1" applyBorder="1" applyAlignment="1">
      <alignment horizontal="center" vertical="center"/>
    </xf>
    <xf numFmtId="3" fontId="60" fillId="33" borderId="30" xfId="0" applyNumberFormat="1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164" fontId="60" fillId="33" borderId="17" xfId="0" applyNumberFormat="1" applyFont="1" applyFill="1" applyBorder="1" applyAlignment="1">
      <alignment horizontal="right"/>
    </xf>
    <xf numFmtId="165" fontId="60" fillId="33" borderId="17" xfId="0" applyNumberFormat="1" applyFont="1" applyFill="1" applyBorder="1" applyAlignment="1">
      <alignment/>
    </xf>
    <xf numFmtId="3" fontId="60" fillId="33" borderId="17" xfId="0" applyNumberFormat="1" applyFont="1" applyFill="1" applyBorder="1" applyAlignment="1">
      <alignment/>
    </xf>
    <xf numFmtId="3" fontId="60" fillId="33" borderId="20" xfId="0" applyNumberFormat="1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164" fontId="59" fillId="33" borderId="11" xfId="0" applyNumberFormat="1" applyFont="1" applyFill="1" applyBorder="1" applyAlignment="1">
      <alignment horizontal="right"/>
    </xf>
    <xf numFmtId="3" fontId="59" fillId="33" borderId="11" xfId="0" applyNumberFormat="1" applyFont="1" applyFill="1" applyBorder="1" applyAlignment="1">
      <alignment/>
    </xf>
    <xf numFmtId="3" fontId="59" fillId="33" borderId="12" xfId="0" applyNumberFormat="1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164" fontId="60" fillId="33" borderId="11" xfId="0" applyNumberFormat="1" applyFont="1" applyFill="1" applyBorder="1" applyAlignment="1">
      <alignment horizontal="right"/>
    </xf>
    <xf numFmtId="165" fontId="60" fillId="33" borderId="11" xfId="0" applyNumberFormat="1" applyFont="1" applyFill="1" applyBorder="1" applyAlignment="1">
      <alignment/>
    </xf>
    <xf numFmtId="3" fontId="60" fillId="33" borderId="11" xfId="0" applyNumberFormat="1" applyFont="1" applyFill="1" applyBorder="1" applyAlignment="1">
      <alignment/>
    </xf>
    <xf numFmtId="3" fontId="60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/>
    </xf>
    <xf numFmtId="165" fontId="3" fillId="0" borderId="25" xfId="0" applyNumberFormat="1" applyFont="1" applyBorder="1" applyAlignment="1">
      <alignment/>
    </xf>
    <xf numFmtId="165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0" fontId="2" fillId="0" borderId="25" xfId="0" applyFont="1" applyBorder="1" applyAlignment="1">
      <alignment vertical="center" wrapText="1"/>
    </xf>
    <xf numFmtId="165" fontId="3" fillId="0" borderId="25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/>
    </xf>
    <xf numFmtId="165" fontId="3" fillId="0" borderId="25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25" xfId="0" applyFont="1" applyBorder="1" applyAlignment="1">
      <alignment horizontal="center"/>
    </xf>
    <xf numFmtId="164" fontId="3" fillId="0" borderId="25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5" fillId="0" borderId="0" xfId="0" applyNumberFormat="1" applyFont="1" applyAlignment="1">
      <alignment horizontal="right"/>
    </xf>
    <xf numFmtId="0" fontId="5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 quotePrefix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0" fillId="33" borderId="3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/>
    </xf>
    <xf numFmtId="164" fontId="60" fillId="33" borderId="33" xfId="0" applyNumberFormat="1" applyFont="1" applyFill="1" applyBorder="1" applyAlignment="1">
      <alignment horizontal="center" vertical="center" wrapText="1"/>
    </xf>
    <xf numFmtId="165" fontId="60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3" fontId="60" fillId="33" borderId="34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60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A3" sqref="A3:I3"/>
    </sheetView>
  </sheetViews>
  <sheetFormatPr defaultColWidth="8.796875" defaultRowHeight="15"/>
  <cols>
    <col min="1" max="1" width="5.09765625" style="204" customWidth="1"/>
    <col min="2" max="2" width="42.69921875" style="204" customWidth="1"/>
    <col min="3" max="3" width="11.19921875" style="204" customWidth="1"/>
    <col min="4" max="4" width="13.3984375" style="243" customWidth="1"/>
    <col min="5" max="5" width="16.09765625" style="244" customWidth="1"/>
    <col min="6" max="6" width="11.59765625" style="244" customWidth="1"/>
    <col min="7" max="7" width="13.8984375" style="244" customWidth="1"/>
    <col min="8" max="8" width="10.59765625" style="245" customWidth="1"/>
    <col min="9" max="9" width="10.09765625" style="245" customWidth="1"/>
    <col min="10" max="16384" width="9" style="204" customWidth="1"/>
  </cols>
  <sheetData>
    <row r="1" spans="1:256" ht="18.75">
      <c r="A1" s="252" t="s">
        <v>600</v>
      </c>
      <c r="B1" s="252"/>
      <c r="C1" s="252"/>
      <c r="D1" s="252"/>
      <c r="E1" s="252"/>
      <c r="F1" s="252"/>
      <c r="G1" s="252"/>
      <c r="H1" s="252"/>
      <c r="I1" s="252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03"/>
      <c r="IQ1" s="203"/>
      <c r="IR1" s="203"/>
      <c r="IS1" s="203"/>
      <c r="IT1" s="203"/>
      <c r="IU1" s="203"/>
      <c r="IV1" s="203"/>
    </row>
    <row r="2" spans="1:256" ht="18.75">
      <c r="A2" s="253" t="str">
        <f>+'Tong du toan'!A7:E7</f>
        <v>C«ng tr×nh: C¶I T¹O, SöA CH÷A TR¦êNG TIÓU HäC &amp; TRUNG HäC C¥ Së L£ QUANG BÝNH</v>
      </c>
      <c r="B2" s="253"/>
      <c r="C2" s="253"/>
      <c r="D2" s="253"/>
      <c r="E2" s="253"/>
      <c r="F2" s="253"/>
      <c r="G2" s="253"/>
      <c r="H2" s="253"/>
      <c r="I2" s="253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5"/>
      <c r="IU2" s="205"/>
      <c r="IV2" s="205"/>
    </row>
    <row r="3" spans="1:256" ht="18.75">
      <c r="A3" s="254" t="s">
        <v>636</v>
      </c>
      <c r="B3" s="254"/>
      <c r="C3" s="254"/>
      <c r="D3" s="254"/>
      <c r="E3" s="254"/>
      <c r="F3" s="254"/>
      <c r="G3" s="254"/>
      <c r="H3" s="254"/>
      <c r="I3" s="254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5"/>
    </row>
    <row r="4" spans="1:9" ht="15">
      <c r="A4" s="206"/>
      <c r="B4" s="206"/>
      <c r="C4" s="206"/>
      <c r="D4" s="207"/>
      <c r="E4" s="208"/>
      <c r="F4" s="208"/>
      <c r="G4" s="208"/>
      <c r="H4" s="209"/>
      <c r="I4" s="209"/>
    </row>
    <row r="5" spans="1:256" ht="93.75">
      <c r="A5" s="210" t="s">
        <v>602</v>
      </c>
      <c r="B5" s="210" t="s">
        <v>603</v>
      </c>
      <c r="C5" s="210" t="s">
        <v>604</v>
      </c>
      <c r="D5" s="210" t="s">
        <v>605</v>
      </c>
      <c r="E5" s="210" t="s">
        <v>606</v>
      </c>
      <c r="F5" s="210" t="s">
        <v>607</v>
      </c>
      <c r="G5" s="210" t="s">
        <v>608</v>
      </c>
      <c r="H5" s="210" t="s">
        <v>609</v>
      </c>
      <c r="I5" s="210" t="s">
        <v>610</v>
      </c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3"/>
      <c r="IN5" s="203"/>
      <c r="IO5" s="203"/>
      <c r="IP5" s="203"/>
      <c r="IQ5" s="203"/>
      <c r="IR5" s="203"/>
      <c r="IS5" s="203"/>
      <c r="IT5" s="203"/>
      <c r="IU5" s="203"/>
      <c r="IV5" s="203"/>
    </row>
    <row r="6" spans="1:9" ht="18.75">
      <c r="A6" s="211" t="s">
        <v>611</v>
      </c>
      <c r="B6" s="212" t="s">
        <v>612</v>
      </c>
      <c r="C6" s="213">
        <f>+SUM(C7:C8)</f>
        <v>81605</v>
      </c>
      <c r="D6" s="255" t="s">
        <v>634</v>
      </c>
      <c r="E6" s="214"/>
      <c r="F6" s="214"/>
      <c r="G6" s="214"/>
      <c r="H6" s="215"/>
      <c r="I6" s="215"/>
    </row>
    <row r="7" spans="1:9" ht="37.5">
      <c r="A7" s="216" t="s">
        <v>2</v>
      </c>
      <c r="B7" s="217" t="s">
        <v>613</v>
      </c>
      <c r="C7" s="218">
        <f>+'Tong du toan'!K14/1000</f>
        <v>76155</v>
      </c>
      <c r="D7" s="256"/>
      <c r="E7" s="219"/>
      <c r="F7" s="219"/>
      <c r="G7" s="220" t="s">
        <v>614</v>
      </c>
      <c r="H7" s="221"/>
      <c r="I7" s="221"/>
    </row>
    <row r="8" spans="1:9" ht="37.5">
      <c r="A8" s="216">
        <v>2</v>
      </c>
      <c r="B8" s="217" t="s">
        <v>615</v>
      </c>
      <c r="C8" s="218">
        <f>+'Tong du toan'!K15/1000</f>
        <v>5450</v>
      </c>
      <c r="D8" s="256"/>
      <c r="E8" s="219"/>
      <c r="F8" s="219"/>
      <c r="G8" s="220" t="s">
        <v>614</v>
      </c>
      <c r="H8" s="221"/>
      <c r="I8" s="221"/>
    </row>
    <row r="9" spans="1:256" ht="37.5">
      <c r="A9" s="211" t="s">
        <v>616</v>
      </c>
      <c r="B9" s="222" t="s">
        <v>617</v>
      </c>
      <c r="C9" s="213">
        <f>+SUM(C10:C12)</f>
        <v>954174</v>
      </c>
      <c r="D9" s="256"/>
      <c r="E9" s="214"/>
      <c r="F9" s="214"/>
      <c r="G9" s="214"/>
      <c r="H9" s="215"/>
      <c r="I9" s="215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spans="1:256" ht="33.75" customHeight="1">
      <c r="A10" s="216">
        <v>1</v>
      </c>
      <c r="B10" s="217" t="s">
        <v>633</v>
      </c>
      <c r="C10" s="218">
        <f>+'Tong du toan'!K16/1000</f>
        <v>924088</v>
      </c>
      <c r="D10" s="256"/>
      <c r="E10" s="223" t="s">
        <v>618</v>
      </c>
      <c r="F10" s="224"/>
      <c r="G10" s="223" t="s">
        <v>619</v>
      </c>
      <c r="H10" s="225" t="s">
        <v>620</v>
      </c>
      <c r="I10" s="225" t="s">
        <v>621</v>
      </c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226"/>
      <c r="IS10" s="226"/>
      <c r="IT10" s="226"/>
      <c r="IU10" s="226"/>
      <c r="IV10" s="226"/>
    </row>
    <row r="11" spans="1:256" ht="18.75">
      <c r="A11" s="216">
        <v>2</v>
      </c>
      <c r="B11" s="217" t="s">
        <v>622</v>
      </c>
      <c r="C11" s="218">
        <f>+'Tong du toan'!K17/1000</f>
        <v>29371</v>
      </c>
      <c r="D11" s="256"/>
      <c r="E11" s="223" t="s">
        <v>618</v>
      </c>
      <c r="F11" s="224"/>
      <c r="G11" s="223" t="s">
        <v>619</v>
      </c>
      <c r="H11" s="225" t="s">
        <v>620</v>
      </c>
      <c r="I11" s="225" t="s">
        <v>621</v>
      </c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  <c r="IU11" s="226"/>
      <c r="IV11" s="226"/>
    </row>
    <row r="12" spans="1:256" ht="18.75">
      <c r="A12" s="216">
        <v>3</v>
      </c>
      <c r="B12" s="217" t="s">
        <v>623</v>
      </c>
      <c r="C12" s="218">
        <f>+'Tong du toan'!K18/1000</f>
        <v>715</v>
      </c>
      <c r="D12" s="256"/>
      <c r="E12" s="223" t="s">
        <v>618</v>
      </c>
      <c r="F12" s="224"/>
      <c r="G12" s="223" t="s">
        <v>619</v>
      </c>
      <c r="H12" s="225" t="s">
        <v>620</v>
      </c>
      <c r="I12" s="225" t="s">
        <v>621</v>
      </c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6"/>
      <c r="IR12" s="226"/>
      <c r="IS12" s="226"/>
      <c r="IT12" s="226"/>
      <c r="IU12" s="226"/>
      <c r="IV12" s="226"/>
    </row>
    <row r="13" spans="1:9" ht="56.25">
      <c r="A13" s="211" t="s">
        <v>624</v>
      </c>
      <c r="B13" s="222" t="s">
        <v>625</v>
      </c>
      <c r="C13" s="213">
        <f>+C14</f>
        <v>42924</v>
      </c>
      <c r="D13" s="256"/>
      <c r="E13" s="214"/>
      <c r="F13" s="214"/>
      <c r="G13" s="214"/>
      <c r="H13" s="215"/>
      <c r="I13" s="215"/>
    </row>
    <row r="14" spans="1:256" ht="75">
      <c r="A14" s="227">
        <v>1</v>
      </c>
      <c r="B14" s="228" t="s">
        <v>626</v>
      </c>
      <c r="C14" s="229">
        <f>+'Tong du toan'!K19/1000</f>
        <v>42924</v>
      </c>
      <c r="D14" s="256"/>
      <c r="E14" s="230" t="s">
        <v>627</v>
      </c>
      <c r="F14" s="231"/>
      <c r="G14" s="231"/>
      <c r="H14" s="232"/>
      <c r="I14" s="232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  <c r="IV14" s="233"/>
    </row>
    <row r="15" spans="1:256" ht="18.75">
      <c r="A15" s="234" t="s">
        <v>628</v>
      </c>
      <c r="B15" s="235" t="s">
        <v>629</v>
      </c>
      <c r="C15" s="236">
        <f>+'Tong du toan'!K20/1000</f>
        <v>292297</v>
      </c>
      <c r="D15" s="237"/>
      <c r="E15" s="238"/>
      <c r="F15" s="238"/>
      <c r="G15" s="238"/>
      <c r="H15" s="239"/>
      <c r="I15" s="239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240"/>
      <c r="FF15" s="240"/>
      <c r="FG15" s="240"/>
      <c r="FH15" s="240"/>
      <c r="FI15" s="240"/>
      <c r="FJ15" s="240"/>
      <c r="FK15" s="240"/>
      <c r="FL15" s="240"/>
      <c r="FM15" s="240"/>
      <c r="FN15" s="240"/>
      <c r="FO15" s="240"/>
      <c r="FP15" s="240"/>
      <c r="FQ15" s="240"/>
      <c r="FR15" s="240"/>
      <c r="FS15" s="240"/>
      <c r="FT15" s="240"/>
      <c r="FU15" s="240"/>
      <c r="FV15" s="240"/>
      <c r="FW15" s="240"/>
      <c r="FX15" s="240"/>
      <c r="FY15" s="240"/>
      <c r="FZ15" s="240"/>
      <c r="GA15" s="240"/>
      <c r="GB15" s="240"/>
      <c r="GC15" s="240"/>
      <c r="GD15" s="240"/>
      <c r="GE15" s="240"/>
      <c r="GF15" s="240"/>
      <c r="GG15" s="240"/>
      <c r="GH15" s="240"/>
      <c r="GI15" s="240"/>
      <c r="GJ15" s="240"/>
      <c r="GK15" s="240"/>
      <c r="GL15" s="240"/>
      <c r="GM15" s="240"/>
      <c r="GN15" s="240"/>
      <c r="GO15" s="240"/>
      <c r="GP15" s="240"/>
      <c r="GQ15" s="240"/>
      <c r="GR15" s="240"/>
      <c r="GS15" s="240"/>
      <c r="GT15" s="240"/>
      <c r="GU15" s="240"/>
      <c r="GV15" s="240"/>
      <c r="GW15" s="240"/>
      <c r="GX15" s="240"/>
      <c r="GY15" s="240"/>
      <c r="GZ15" s="240"/>
      <c r="HA15" s="240"/>
      <c r="HB15" s="240"/>
      <c r="HC15" s="240"/>
      <c r="HD15" s="240"/>
      <c r="HE15" s="240"/>
      <c r="HF15" s="240"/>
      <c r="HG15" s="240"/>
      <c r="HH15" s="240"/>
      <c r="HI15" s="240"/>
      <c r="HJ15" s="240"/>
      <c r="HK15" s="240"/>
      <c r="HL15" s="240"/>
      <c r="HM15" s="240"/>
      <c r="HN15" s="240"/>
      <c r="HO15" s="240"/>
      <c r="HP15" s="240"/>
      <c r="HQ15" s="240"/>
      <c r="HR15" s="240"/>
      <c r="HS15" s="240"/>
      <c r="HT15" s="240"/>
      <c r="HU15" s="240"/>
      <c r="HV15" s="240"/>
      <c r="HW15" s="240"/>
      <c r="HX15" s="240"/>
      <c r="HY15" s="240"/>
      <c r="HZ15" s="240"/>
      <c r="IA15" s="240"/>
      <c r="IB15" s="240"/>
      <c r="IC15" s="240"/>
      <c r="ID15" s="240"/>
      <c r="IE15" s="240"/>
      <c r="IF15" s="240"/>
      <c r="IG15" s="240"/>
      <c r="IH15" s="240"/>
      <c r="II15" s="240"/>
      <c r="IJ15" s="240"/>
      <c r="IK15" s="240"/>
      <c r="IL15" s="240"/>
      <c r="IM15" s="240"/>
      <c r="IN15" s="240"/>
      <c r="IO15" s="240"/>
      <c r="IP15" s="240"/>
      <c r="IQ15" s="240"/>
      <c r="IR15" s="240"/>
      <c r="IS15" s="240"/>
      <c r="IT15" s="240"/>
      <c r="IU15" s="240"/>
      <c r="IV15" s="240"/>
    </row>
    <row r="16" spans="1:9" ht="18.75">
      <c r="A16" s="241" t="s">
        <v>0</v>
      </c>
      <c r="B16" s="222" t="s">
        <v>630</v>
      </c>
      <c r="C16" s="213">
        <f>+C13+C9+C6+C15</f>
        <v>1371000</v>
      </c>
      <c r="D16" s="242"/>
      <c r="E16" s="219"/>
      <c r="F16" s="219"/>
      <c r="G16" s="219"/>
      <c r="H16" s="221"/>
      <c r="I16" s="221"/>
    </row>
  </sheetData>
  <sheetProtection/>
  <mergeCells count="4">
    <mergeCell ref="A1:I1"/>
    <mergeCell ref="A2:I2"/>
    <mergeCell ref="A3:I3"/>
    <mergeCell ref="D6:D14"/>
  </mergeCells>
  <printOptions/>
  <pageMargins left="0.2" right="0.2" top="0.5" bottom="0.2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7"/>
  <sheetViews>
    <sheetView showZeros="0" zoomScalePageLayoutView="0" workbookViewId="0" topLeftCell="A1">
      <selection activeCell="A1" sqref="A1:G1"/>
    </sheetView>
  </sheetViews>
  <sheetFormatPr defaultColWidth="8.796875" defaultRowHeight="15"/>
  <cols>
    <col min="1" max="1" width="3.69921875" style="6" customWidth="1"/>
    <col min="2" max="2" width="9.69921875" style="6" customWidth="1"/>
    <col min="3" max="3" width="29.69921875" style="6" customWidth="1"/>
    <col min="4" max="4" width="5.09765625" style="6" customWidth="1"/>
    <col min="5" max="6" width="10.69921875" style="156" customWidth="1"/>
    <col min="7" max="7" width="13.5" style="156" customWidth="1"/>
    <col min="8" max="16384" width="9" style="6" customWidth="1"/>
  </cols>
  <sheetData>
    <row r="1" spans="1:7" ht="21">
      <c r="A1" s="262" t="s">
        <v>544</v>
      </c>
      <c r="B1" s="262"/>
      <c r="C1" s="262"/>
      <c r="D1" s="262"/>
      <c r="E1" s="262"/>
      <c r="F1" s="262"/>
      <c r="G1" s="262"/>
    </row>
    <row r="2" spans="1:7" ht="15.75">
      <c r="A2" s="2"/>
      <c r="B2" s="2"/>
      <c r="C2" s="2"/>
      <c r="D2" s="2"/>
      <c r="E2" s="3"/>
      <c r="F2" s="3"/>
      <c r="G2" s="3"/>
    </row>
    <row r="3" spans="1:7" s="25" customFormat="1" ht="16.5">
      <c r="A3" s="261" t="s">
        <v>478</v>
      </c>
      <c r="B3" s="261"/>
      <c r="C3" s="261"/>
      <c r="D3" s="261"/>
      <c r="E3" s="261"/>
      <c r="F3" s="261"/>
      <c r="G3" s="261"/>
    </row>
    <row r="4" spans="1:7" s="25" customFormat="1" ht="16.5">
      <c r="A4" s="261" t="s">
        <v>479</v>
      </c>
      <c r="B4" s="261"/>
      <c r="C4" s="261"/>
      <c r="D4" s="261"/>
      <c r="E4" s="261"/>
      <c r="F4" s="261"/>
      <c r="G4" s="261"/>
    </row>
    <row r="5" spans="1:7" s="25" customFormat="1" ht="16.5">
      <c r="A5" s="261"/>
      <c r="B5" s="261"/>
      <c r="C5" s="261"/>
      <c r="D5" s="261"/>
      <c r="E5" s="261"/>
      <c r="F5" s="261"/>
      <c r="G5" s="261"/>
    </row>
    <row r="6" spans="1:7" ht="16.5" thickBot="1">
      <c r="A6" s="2"/>
      <c r="B6" s="2"/>
      <c r="C6" s="2"/>
      <c r="D6" s="2"/>
      <c r="E6" s="3"/>
      <c r="F6" s="3"/>
      <c r="G6" s="3"/>
    </row>
    <row r="7" spans="1:7" ht="45" customHeight="1">
      <c r="A7" s="22" t="s">
        <v>302</v>
      </c>
      <c r="B7" s="24" t="s">
        <v>488</v>
      </c>
      <c r="C7" s="23" t="s">
        <v>489</v>
      </c>
      <c r="D7" s="24" t="s">
        <v>498</v>
      </c>
      <c r="E7" s="165" t="s">
        <v>543</v>
      </c>
      <c r="F7" s="165" t="s">
        <v>499</v>
      </c>
      <c r="G7" s="166" t="s">
        <v>540</v>
      </c>
    </row>
    <row r="8" spans="1:7" ht="15.75">
      <c r="A8" s="29" t="s">
        <v>0</v>
      </c>
      <c r="B8" s="30" t="s">
        <v>0</v>
      </c>
      <c r="C8" s="30" t="s">
        <v>1</v>
      </c>
      <c r="D8" s="30" t="s">
        <v>0</v>
      </c>
      <c r="E8" s="163"/>
      <c r="F8" s="163"/>
      <c r="G8" s="164"/>
    </row>
    <row r="9" spans="1:7" ht="15">
      <c r="A9" s="8" t="s">
        <v>0</v>
      </c>
      <c r="B9" s="9" t="s">
        <v>0</v>
      </c>
      <c r="C9" s="9" t="s">
        <v>0</v>
      </c>
      <c r="D9" s="9" t="s">
        <v>0</v>
      </c>
      <c r="E9" s="159"/>
      <c r="F9" s="159"/>
      <c r="G9" s="160"/>
    </row>
    <row r="10" spans="1:7" ht="15">
      <c r="A10" s="8" t="s">
        <v>2</v>
      </c>
      <c r="B10" s="9" t="s">
        <v>3</v>
      </c>
      <c r="C10" s="9" t="s">
        <v>4</v>
      </c>
      <c r="D10" s="9" t="s">
        <v>5</v>
      </c>
      <c r="E10" s="159">
        <f>'Du toan chi tiet'!E12</f>
        <v>2150</v>
      </c>
      <c r="F10" s="159"/>
      <c r="G10" s="160"/>
    </row>
    <row r="11" spans="1:7" ht="15">
      <c r="A11" s="8" t="s">
        <v>0</v>
      </c>
      <c r="B11" s="9" t="s">
        <v>0</v>
      </c>
      <c r="C11" s="9" t="s">
        <v>6</v>
      </c>
      <c r="D11" s="9" t="s">
        <v>7</v>
      </c>
      <c r="E11" s="159"/>
      <c r="F11" s="159">
        <f>6.6</f>
        <v>6.6</v>
      </c>
      <c r="G11" s="160">
        <f>E10*F11</f>
        <v>14190</v>
      </c>
    </row>
    <row r="12" spans="1:7" ht="15">
      <c r="A12" s="8" t="s">
        <v>0</v>
      </c>
      <c r="B12" s="9" t="s">
        <v>0</v>
      </c>
      <c r="C12" s="9" t="s">
        <v>8</v>
      </c>
      <c r="D12" s="9" t="s">
        <v>9</v>
      </c>
      <c r="E12" s="159"/>
      <c r="F12" s="159">
        <f>0.02975</f>
        <v>0.02975</v>
      </c>
      <c r="G12" s="160">
        <f>E10*F12</f>
        <v>63.9625</v>
      </c>
    </row>
    <row r="13" spans="1:7" ht="15">
      <c r="A13" s="8" t="s">
        <v>0</v>
      </c>
      <c r="B13" s="9" t="s">
        <v>0</v>
      </c>
      <c r="C13" s="9" t="s">
        <v>10</v>
      </c>
      <c r="D13" s="9" t="s">
        <v>9</v>
      </c>
      <c r="E13" s="159"/>
      <c r="F13" s="159">
        <f>0.006875</f>
        <v>0.006875</v>
      </c>
      <c r="G13" s="160">
        <f>E10*F13</f>
        <v>14.78125</v>
      </c>
    </row>
    <row r="14" spans="1:7" ht="15">
      <c r="A14" s="8" t="s">
        <v>0</v>
      </c>
      <c r="B14" s="9" t="s">
        <v>0</v>
      </c>
      <c r="C14" s="9" t="s">
        <v>11</v>
      </c>
      <c r="D14" s="9" t="s">
        <v>12</v>
      </c>
      <c r="E14" s="159"/>
      <c r="F14" s="159">
        <f>0.068</f>
        <v>0.068</v>
      </c>
      <c r="G14" s="160">
        <f>E10*F14</f>
        <v>146.20000000000002</v>
      </c>
    </row>
    <row r="15" spans="1:7" ht="15">
      <c r="A15" s="8" t="s">
        <v>0</v>
      </c>
      <c r="B15" s="9" t="s">
        <v>0</v>
      </c>
      <c r="C15" s="9" t="s">
        <v>13</v>
      </c>
      <c r="D15" s="9" t="s">
        <v>14</v>
      </c>
      <c r="E15" s="159"/>
      <c r="F15" s="159">
        <f>0.004</f>
        <v>0.004</v>
      </c>
      <c r="G15" s="160">
        <f>E10*F15</f>
        <v>8.6</v>
      </c>
    </row>
    <row r="16" spans="1:7" ht="15">
      <c r="A16" s="8" t="s">
        <v>0</v>
      </c>
      <c r="B16" s="9" t="s">
        <v>0</v>
      </c>
      <c r="C16" s="9" t="s">
        <v>0</v>
      </c>
      <c r="D16" s="9" t="s">
        <v>0</v>
      </c>
      <c r="E16" s="159"/>
      <c r="F16" s="159"/>
      <c r="G16" s="160"/>
    </row>
    <row r="17" spans="1:7" ht="15">
      <c r="A17" s="8" t="s">
        <v>15</v>
      </c>
      <c r="B17" s="9" t="s">
        <v>16</v>
      </c>
      <c r="C17" s="9" t="s">
        <v>17</v>
      </c>
      <c r="D17" s="9" t="s">
        <v>5</v>
      </c>
      <c r="E17" s="159">
        <f>'Du toan chi tiet'!E14</f>
        <v>2150</v>
      </c>
      <c r="F17" s="159"/>
      <c r="G17" s="160"/>
    </row>
    <row r="18" spans="1:7" ht="15">
      <c r="A18" s="8" t="s">
        <v>0</v>
      </c>
      <c r="B18" s="9" t="s">
        <v>0</v>
      </c>
      <c r="C18" s="9" t="s">
        <v>18</v>
      </c>
      <c r="D18" s="9" t="s">
        <v>19</v>
      </c>
      <c r="E18" s="159"/>
      <c r="F18" s="159">
        <f>1.01</f>
        <v>1.01</v>
      </c>
      <c r="G18" s="160">
        <f>E17*F18</f>
        <v>2171.5</v>
      </c>
    </row>
    <row r="19" spans="1:7" ht="15">
      <c r="A19" s="8" t="s">
        <v>0</v>
      </c>
      <c r="B19" s="9" t="s">
        <v>0</v>
      </c>
      <c r="C19" s="9" t="s">
        <v>6</v>
      </c>
      <c r="D19" s="9" t="s">
        <v>7</v>
      </c>
      <c r="E19" s="159"/>
      <c r="F19" s="159">
        <f>6.6</f>
        <v>6.6</v>
      </c>
      <c r="G19" s="160">
        <f>E17*F19</f>
        <v>14190</v>
      </c>
    </row>
    <row r="20" spans="1:7" ht="15">
      <c r="A20" s="8" t="s">
        <v>0</v>
      </c>
      <c r="B20" s="9" t="s">
        <v>0</v>
      </c>
      <c r="C20" s="9" t="s">
        <v>8</v>
      </c>
      <c r="D20" s="9" t="s">
        <v>9</v>
      </c>
      <c r="E20" s="159"/>
      <c r="F20" s="159">
        <f>0.02975</f>
        <v>0.02975</v>
      </c>
      <c r="G20" s="160">
        <f>E17*F20</f>
        <v>63.9625</v>
      </c>
    </row>
    <row r="21" spans="1:7" ht="15">
      <c r="A21" s="8" t="s">
        <v>0</v>
      </c>
      <c r="B21" s="9" t="s">
        <v>0</v>
      </c>
      <c r="C21" s="9" t="s">
        <v>10</v>
      </c>
      <c r="D21" s="9" t="s">
        <v>9</v>
      </c>
      <c r="E21" s="159"/>
      <c r="F21" s="159">
        <f>0.006875</f>
        <v>0.006875</v>
      </c>
      <c r="G21" s="160">
        <f>E17*F21</f>
        <v>14.78125</v>
      </c>
    </row>
    <row r="22" spans="1:7" ht="15">
      <c r="A22" s="8" t="s">
        <v>0</v>
      </c>
      <c r="B22" s="9" t="s">
        <v>0</v>
      </c>
      <c r="C22" s="9" t="s">
        <v>20</v>
      </c>
      <c r="D22" s="9" t="s">
        <v>7</v>
      </c>
      <c r="E22" s="159"/>
      <c r="F22" s="159">
        <f>0.08</f>
        <v>0.08</v>
      </c>
      <c r="G22" s="160">
        <f>E17*F22</f>
        <v>172</v>
      </c>
    </row>
    <row r="23" spans="1:7" ht="15">
      <c r="A23" s="8" t="s">
        <v>0</v>
      </c>
      <c r="B23" s="9" t="s">
        <v>0</v>
      </c>
      <c r="C23" s="9" t="s">
        <v>11</v>
      </c>
      <c r="D23" s="9" t="s">
        <v>12</v>
      </c>
      <c r="E23" s="159"/>
      <c r="F23" s="159">
        <f>0.15</f>
        <v>0.15</v>
      </c>
      <c r="G23" s="160">
        <f>E17*F23</f>
        <v>322.5</v>
      </c>
    </row>
    <row r="24" spans="1:7" ht="15">
      <c r="A24" s="8" t="s">
        <v>0</v>
      </c>
      <c r="B24" s="9" t="s">
        <v>0</v>
      </c>
      <c r="C24" s="9" t="s">
        <v>0</v>
      </c>
      <c r="D24" s="9" t="s">
        <v>0</v>
      </c>
      <c r="E24" s="159"/>
      <c r="F24" s="159"/>
      <c r="G24" s="160"/>
    </row>
    <row r="25" spans="1:7" ht="15">
      <c r="A25" s="8" t="s">
        <v>21</v>
      </c>
      <c r="B25" s="9" t="s">
        <v>22</v>
      </c>
      <c r="C25" s="9" t="s">
        <v>23</v>
      </c>
      <c r="D25" s="9" t="s">
        <v>24</v>
      </c>
      <c r="E25" s="159">
        <f>'Du toan chi tiet'!E16</f>
        <v>1.44</v>
      </c>
      <c r="F25" s="159"/>
      <c r="G25" s="160"/>
    </row>
    <row r="26" spans="1:7" ht="15">
      <c r="A26" s="8" t="s">
        <v>0</v>
      </c>
      <c r="B26" s="9" t="s">
        <v>0</v>
      </c>
      <c r="C26" s="9" t="s">
        <v>25</v>
      </c>
      <c r="D26" s="9" t="s">
        <v>12</v>
      </c>
      <c r="E26" s="159"/>
      <c r="F26" s="159">
        <f>1.19</f>
        <v>1.19</v>
      </c>
      <c r="G26" s="160">
        <f>E25*F26</f>
        <v>1.7135999999999998</v>
      </c>
    </row>
    <row r="27" spans="1:7" ht="15">
      <c r="A27" s="8" t="s">
        <v>0</v>
      </c>
      <c r="B27" s="9" t="s">
        <v>0</v>
      </c>
      <c r="C27" s="9" t="s">
        <v>0</v>
      </c>
      <c r="D27" s="9" t="s">
        <v>0</v>
      </c>
      <c r="E27" s="159"/>
      <c r="F27" s="159"/>
      <c r="G27" s="160"/>
    </row>
    <row r="28" spans="1:7" ht="15">
      <c r="A28" s="8" t="s">
        <v>26</v>
      </c>
      <c r="B28" s="9" t="s">
        <v>27</v>
      </c>
      <c r="C28" s="9" t="s">
        <v>28</v>
      </c>
      <c r="D28" s="9" t="s">
        <v>24</v>
      </c>
      <c r="E28" s="159">
        <f>'Du toan chi tiet'!E18</f>
        <v>0.48</v>
      </c>
      <c r="F28" s="159"/>
      <c r="G28" s="160"/>
    </row>
    <row r="29" spans="1:7" ht="15">
      <c r="A29" s="8" t="s">
        <v>0</v>
      </c>
      <c r="B29" s="9" t="s">
        <v>0</v>
      </c>
      <c r="C29" s="9" t="s">
        <v>29</v>
      </c>
      <c r="D29" s="9" t="s">
        <v>0</v>
      </c>
      <c r="E29" s="159"/>
      <c r="F29" s="159"/>
      <c r="G29" s="160"/>
    </row>
    <row r="30" spans="1:7" ht="15">
      <c r="A30" s="8" t="s">
        <v>0</v>
      </c>
      <c r="B30" s="9" t="s">
        <v>0</v>
      </c>
      <c r="C30" s="9" t="s">
        <v>25</v>
      </c>
      <c r="D30" s="9" t="s">
        <v>12</v>
      </c>
      <c r="E30" s="159"/>
      <c r="F30" s="159">
        <f>0.0619</f>
        <v>0.0619</v>
      </c>
      <c r="G30" s="160">
        <f>E28*F30</f>
        <v>0.029712</v>
      </c>
    </row>
    <row r="31" spans="1:7" ht="15">
      <c r="A31" s="8" t="s">
        <v>0</v>
      </c>
      <c r="B31" s="9" t="s">
        <v>0</v>
      </c>
      <c r="C31" s="9" t="s">
        <v>30</v>
      </c>
      <c r="D31" s="9" t="s">
        <v>14</v>
      </c>
      <c r="E31" s="159"/>
      <c r="F31" s="159">
        <f>0.03845</f>
        <v>0.03845</v>
      </c>
      <c r="G31" s="160">
        <f>E28*F31</f>
        <v>0.018455999999999997</v>
      </c>
    </row>
    <row r="32" spans="1:7" ht="15">
      <c r="A32" s="8" t="s">
        <v>0</v>
      </c>
      <c r="B32" s="9" t="s">
        <v>0</v>
      </c>
      <c r="C32" s="9" t="s">
        <v>0</v>
      </c>
      <c r="D32" s="9" t="s">
        <v>0</v>
      </c>
      <c r="E32" s="159"/>
      <c r="F32" s="159"/>
      <c r="G32" s="160"/>
    </row>
    <row r="33" spans="1:7" ht="15">
      <c r="A33" s="8" t="s">
        <v>31</v>
      </c>
      <c r="B33" s="9" t="s">
        <v>32</v>
      </c>
      <c r="C33" s="9" t="s">
        <v>33</v>
      </c>
      <c r="D33" s="9" t="s">
        <v>5</v>
      </c>
      <c r="E33" s="159">
        <f>'Du toan chi tiet'!E20</f>
        <v>2.4</v>
      </c>
      <c r="F33" s="159"/>
      <c r="G33" s="160"/>
    </row>
    <row r="34" spans="1:7" ht="15">
      <c r="A34" s="8" t="s">
        <v>0</v>
      </c>
      <c r="B34" s="9" t="s">
        <v>0</v>
      </c>
      <c r="C34" s="9" t="s">
        <v>34</v>
      </c>
      <c r="D34" s="9" t="s">
        <v>9</v>
      </c>
      <c r="E34" s="159"/>
      <c r="F34" s="159">
        <f>0.00794</f>
        <v>0.00794</v>
      </c>
      <c r="G34" s="160">
        <f>E33*F34</f>
        <v>0.019055999999999997</v>
      </c>
    </row>
    <row r="35" spans="1:7" ht="15">
      <c r="A35" s="8" t="s">
        <v>0</v>
      </c>
      <c r="B35" s="9" t="s">
        <v>0</v>
      </c>
      <c r="C35" s="9" t="s">
        <v>35</v>
      </c>
      <c r="D35" s="9" t="s">
        <v>9</v>
      </c>
      <c r="E35" s="159"/>
      <c r="F35" s="159">
        <f>0.0021</f>
        <v>0.0021</v>
      </c>
      <c r="G35" s="160">
        <f>E33*F35</f>
        <v>0.005039999999999999</v>
      </c>
    </row>
    <row r="36" spans="1:7" ht="15">
      <c r="A36" s="8" t="s">
        <v>0</v>
      </c>
      <c r="B36" s="9" t="s">
        <v>0</v>
      </c>
      <c r="C36" s="9" t="s">
        <v>36</v>
      </c>
      <c r="D36" s="9" t="s">
        <v>9</v>
      </c>
      <c r="E36" s="159"/>
      <c r="F36" s="159">
        <f>0.00335</f>
        <v>0.00335</v>
      </c>
      <c r="G36" s="160">
        <f>E33*F36</f>
        <v>0.00804</v>
      </c>
    </row>
    <row r="37" spans="1:7" ht="15">
      <c r="A37" s="8" t="s">
        <v>0</v>
      </c>
      <c r="B37" s="9" t="s">
        <v>0</v>
      </c>
      <c r="C37" s="9" t="s">
        <v>37</v>
      </c>
      <c r="D37" s="9" t="s">
        <v>7</v>
      </c>
      <c r="E37" s="159"/>
      <c r="F37" s="159">
        <f>0.15</f>
        <v>0.15</v>
      </c>
      <c r="G37" s="160">
        <f>E33*F37</f>
        <v>0.36</v>
      </c>
    </row>
    <row r="38" spans="1:7" ht="15">
      <c r="A38" s="8" t="s">
        <v>0</v>
      </c>
      <c r="B38" s="9" t="s">
        <v>0</v>
      </c>
      <c r="C38" s="9" t="s">
        <v>38</v>
      </c>
      <c r="D38" s="9" t="s">
        <v>12</v>
      </c>
      <c r="E38" s="159"/>
      <c r="F38" s="159">
        <f>0.297</f>
        <v>0.297</v>
      </c>
      <c r="G38" s="160">
        <f>E33*F38</f>
        <v>0.7128</v>
      </c>
    </row>
    <row r="39" spans="1:7" ht="15">
      <c r="A39" s="8" t="s">
        <v>0</v>
      </c>
      <c r="B39" s="9" t="s">
        <v>0</v>
      </c>
      <c r="C39" s="9" t="s">
        <v>0</v>
      </c>
      <c r="D39" s="9" t="s">
        <v>0</v>
      </c>
      <c r="E39" s="159"/>
      <c r="F39" s="159"/>
      <c r="G39" s="160"/>
    </row>
    <row r="40" spans="1:7" ht="15">
      <c r="A40" s="8" t="s">
        <v>39</v>
      </c>
      <c r="B40" s="9" t="s">
        <v>40</v>
      </c>
      <c r="C40" s="9" t="s">
        <v>41</v>
      </c>
      <c r="D40" s="9" t="s">
        <v>24</v>
      </c>
      <c r="E40" s="159">
        <f>'Du toan chi tiet'!E22</f>
        <v>0.48</v>
      </c>
      <c r="F40" s="159"/>
      <c r="G40" s="160"/>
    </row>
    <row r="41" spans="1:7" ht="15">
      <c r="A41" s="8" t="s">
        <v>0</v>
      </c>
      <c r="B41" s="9" t="s">
        <v>0</v>
      </c>
      <c r="C41" s="9" t="s">
        <v>42</v>
      </c>
      <c r="D41" s="9" t="s">
        <v>0</v>
      </c>
      <c r="E41" s="159"/>
      <c r="F41" s="159"/>
      <c r="G41" s="160"/>
    </row>
    <row r="42" spans="1:7" ht="15">
      <c r="A42" s="8" t="s">
        <v>0</v>
      </c>
      <c r="B42" s="9" t="s">
        <v>0</v>
      </c>
      <c r="C42" s="9" t="s">
        <v>43</v>
      </c>
      <c r="D42" s="9" t="s">
        <v>7</v>
      </c>
      <c r="E42" s="159"/>
      <c r="F42" s="159">
        <f>203</f>
        <v>203</v>
      </c>
      <c r="G42" s="160">
        <f>E40*F42</f>
        <v>97.44</v>
      </c>
    </row>
    <row r="43" spans="1:7" ht="15">
      <c r="A43" s="8" t="s">
        <v>0</v>
      </c>
      <c r="B43" s="9" t="s">
        <v>0</v>
      </c>
      <c r="C43" s="9" t="s">
        <v>44</v>
      </c>
      <c r="D43" s="9" t="s">
        <v>9</v>
      </c>
      <c r="E43" s="159"/>
      <c r="F43" s="159">
        <f>0.551</f>
        <v>0.551</v>
      </c>
      <c r="G43" s="160">
        <f>E40*F43</f>
        <v>0.26448</v>
      </c>
    </row>
    <row r="44" spans="1:7" ht="15">
      <c r="A44" s="8" t="s">
        <v>0</v>
      </c>
      <c r="B44" s="9" t="s">
        <v>0</v>
      </c>
      <c r="C44" s="9" t="s">
        <v>45</v>
      </c>
      <c r="D44" s="9" t="s">
        <v>9</v>
      </c>
      <c r="E44" s="159"/>
      <c r="F44" s="159">
        <f>0.894</f>
        <v>0.894</v>
      </c>
      <c r="G44" s="160">
        <f>E40*F44</f>
        <v>0.42912</v>
      </c>
    </row>
    <row r="45" spans="1:7" ht="15">
      <c r="A45" s="8" t="s">
        <v>0</v>
      </c>
      <c r="B45" s="9" t="s">
        <v>0</v>
      </c>
      <c r="C45" s="9" t="s">
        <v>10</v>
      </c>
      <c r="D45" s="9" t="s">
        <v>9</v>
      </c>
      <c r="E45" s="159"/>
      <c r="F45" s="159">
        <f>0.17</f>
        <v>0.17</v>
      </c>
      <c r="G45" s="160">
        <f>E40*F45</f>
        <v>0.0816</v>
      </c>
    </row>
    <row r="46" spans="1:7" ht="15">
      <c r="A46" s="8" t="s">
        <v>0</v>
      </c>
      <c r="B46" s="9" t="s">
        <v>0</v>
      </c>
      <c r="C46" s="9" t="s">
        <v>46</v>
      </c>
      <c r="D46" s="9" t="s">
        <v>12</v>
      </c>
      <c r="E46" s="159"/>
      <c r="F46" s="159">
        <f>1.07</f>
        <v>1.07</v>
      </c>
      <c r="G46" s="160">
        <f>E40*F46</f>
        <v>0.5136000000000001</v>
      </c>
    </row>
    <row r="47" spans="1:7" ht="15">
      <c r="A47" s="8" t="s">
        <v>0</v>
      </c>
      <c r="B47" s="9" t="s">
        <v>0</v>
      </c>
      <c r="C47" s="9" t="s">
        <v>47</v>
      </c>
      <c r="D47" s="9" t="s">
        <v>14</v>
      </c>
      <c r="E47" s="159"/>
      <c r="F47" s="159">
        <f>0.095</f>
        <v>0.095</v>
      </c>
      <c r="G47" s="160">
        <f>E40*F47</f>
        <v>0.0456</v>
      </c>
    </row>
    <row r="48" spans="1:7" ht="15">
      <c r="A48" s="8" t="s">
        <v>0</v>
      </c>
      <c r="B48" s="9" t="s">
        <v>0</v>
      </c>
      <c r="C48" s="9" t="s">
        <v>48</v>
      </c>
      <c r="D48" s="9" t="s">
        <v>14</v>
      </c>
      <c r="E48" s="159"/>
      <c r="F48" s="159">
        <f>0.089</f>
        <v>0.089</v>
      </c>
      <c r="G48" s="160">
        <f>E40*F48</f>
        <v>0.042719999999999994</v>
      </c>
    </row>
    <row r="49" spans="1:7" ht="15">
      <c r="A49" s="8" t="s">
        <v>0</v>
      </c>
      <c r="B49" s="9" t="s">
        <v>0</v>
      </c>
      <c r="C49" s="9" t="s">
        <v>0</v>
      </c>
      <c r="D49" s="9" t="s">
        <v>0</v>
      </c>
      <c r="E49" s="159"/>
      <c r="F49" s="159"/>
      <c r="G49" s="160"/>
    </row>
    <row r="50" spans="1:7" ht="15">
      <c r="A50" s="8" t="s">
        <v>49</v>
      </c>
      <c r="B50" s="9" t="s">
        <v>50</v>
      </c>
      <c r="C50" s="9" t="s">
        <v>51</v>
      </c>
      <c r="D50" s="9" t="s">
        <v>24</v>
      </c>
      <c r="E50" s="159">
        <f>'Du toan chi tiet'!E24</f>
        <v>0.96</v>
      </c>
      <c r="F50" s="159"/>
      <c r="G50" s="160"/>
    </row>
    <row r="51" spans="1:7" ht="15">
      <c r="A51" s="8" t="s">
        <v>0</v>
      </c>
      <c r="B51" s="9" t="s">
        <v>0</v>
      </c>
      <c r="C51" s="9" t="s">
        <v>52</v>
      </c>
      <c r="D51" s="9" t="s">
        <v>0</v>
      </c>
      <c r="E51" s="159"/>
      <c r="F51" s="159"/>
      <c r="G51" s="160"/>
    </row>
    <row r="52" spans="1:7" ht="15">
      <c r="A52" s="8" t="s">
        <v>0</v>
      </c>
      <c r="B52" s="9" t="s">
        <v>0</v>
      </c>
      <c r="C52" s="9" t="s">
        <v>53</v>
      </c>
      <c r="D52" s="9" t="s">
        <v>54</v>
      </c>
      <c r="E52" s="159"/>
      <c r="F52" s="159">
        <f>658</f>
        <v>658</v>
      </c>
      <c r="G52" s="160">
        <f>E50*F52</f>
        <v>631.68</v>
      </c>
    </row>
    <row r="53" spans="1:7" ht="15">
      <c r="A53" s="8" t="s">
        <v>0</v>
      </c>
      <c r="B53" s="9" t="s">
        <v>0</v>
      </c>
      <c r="C53" s="9" t="s">
        <v>6</v>
      </c>
      <c r="D53" s="9" t="s">
        <v>7</v>
      </c>
      <c r="E53" s="159"/>
      <c r="F53" s="159">
        <f>72.336</f>
        <v>72.336</v>
      </c>
      <c r="G53" s="160">
        <f>E50*F53</f>
        <v>69.44256</v>
      </c>
    </row>
    <row r="54" spans="1:7" ht="15">
      <c r="A54" s="8" t="s">
        <v>0</v>
      </c>
      <c r="B54" s="9" t="s">
        <v>0</v>
      </c>
      <c r="C54" s="9" t="s">
        <v>8</v>
      </c>
      <c r="D54" s="9" t="s">
        <v>9</v>
      </c>
      <c r="E54" s="159"/>
      <c r="F54" s="159">
        <f>0.32606</f>
        <v>0.32606</v>
      </c>
      <c r="G54" s="160">
        <f>E50*F54</f>
        <v>0.3130176</v>
      </c>
    </row>
    <row r="55" spans="1:7" ht="15">
      <c r="A55" s="8" t="s">
        <v>0</v>
      </c>
      <c r="B55" s="9" t="s">
        <v>0</v>
      </c>
      <c r="C55" s="9" t="s">
        <v>10</v>
      </c>
      <c r="D55" s="9" t="s">
        <v>9</v>
      </c>
      <c r="E55" s="159"/>
      <c r="F55" s="159">
        <f>0.07535</f>
        <v>0.07535</v>
      </c>
      <c r="G55" s="160">
        <f>E50*F55</f>
        <v>0.072336</v>
      </c>
    </row>
    <row r="56" spans="1:7" ht="15">
      <c r="A56" s="8" t="s">
        <v>0</v>
      </c>
      <c r="B56" s="9" t="s">
        <v>0</v>
      </c>
      <c r="C56" s="9" t="s">
        <v>38</v>
      </c>
      <c r="D56" s="9" t="s">
        <v>12</v>
      </c>
      <c r="E56" s="159"/>
      <c r="F56" s="159">
        <f>2.47</f>
        <v>2.47</v>
      </c>
      <c r="G56" s="160">
        <f>E50*F56</f>
        <v>2.3712</v>
      </c>
    </row>
    <row r="57" spans="1:7" ht="15">
      <c r="A57" s="8" t="s">
        <v>0</v>
      </c>
      <c r="B57" s="9" t="s">
        <v>0</v>
      </c>
      <c r="C57" s="9" t="s">
        <v>55</v>
      </c>
      <c r="D57" s="9" t="s">
        <v>14</v>
      </c>
      <c r="E57" s="159"/>
      <c r="F57" s="159">
        <f>0.035</f>
        <v>0.035</v>
      </c>
      <c r="G57" s="160">
        <f>E50*F57</f>
        <v>0.033600000000000005</v>
      </c>
    </row>
    <row r="58" spans="1:7" ht="15">
      <c r="A58" s="8" t="s">
        <v>0</v>
      </c>
      <c r="B58" s="9" t="s">
        <v>0</v>
      </c>
      <c r="C58" s="9" t="s">
        <v>0</v>
      </c>
      <c r="D58" s="9" t="s">
        <v>0</v>
      </c>
      <c r="E58" s="159"/>
      <c r="F58" s="159"/>
      <c r="G58" s="160"/>
    </row>
    <row r="59" spans="1:7" ht="15">
      <c r="A59" s="8" t="s">
        <v>56</v>
      </c>
      <c r="B59" s="9" t="s">
        <v>57</v>
      </c>
      <c r="C59" s="9" t="s">
        <v>58</v>
      </c>
      <c r="D59" s="9" t="s">
        <v>5</v>
      </c>
      <c r="E59" s="159">
        <f>'Du toan chi tiet'!E26</f>
        <v>12</v>
      </c>
      <c r="F59" s="159"/>
      <c r="G59" s="160"/>
    </row>
    <row r="60" spans="1:7" ht="15">
      <c r="A60" s="8" t="s">
        <v>0</v>
      </c>
      <c r="B60" s="9" t="s">
        <v>0</v>
      </c>
      <c r="C60" s="9" t="s">
        <v>6</v>
      </c>
      <c r="D60" s="9" t="s">
        <v>7</v>
      </c>
      <c r="E60" s="159"/>
      <c r="F60" s="159">
        <f>6.072</f>
        <v>6.072</v>
      </c>
      <c r="G60" s="160">
        <f>E59*F60</f>
        <v>72.864</v>
      </c>
    </row>
    <row r="61" spans="1:7" ht="15">
      <c r="A61" s="8" t="s">
        <v>0</v>
      </c>
      <c r="B61" s="9" t="s">
        <v>0</v>
      </c>
      <c r="C61" s="9" t="s">
        <v>8</v>
      </c>
      <c r="D61" s="9" t="s">
        <v>9</v>
      </c>
      <c r="E61" s="159"/>
      <c r="F61" s="159">
        <f>0.02737</f>
        <v>0.02737</v>
      </c>
      <c r="G61" s="160">
        <f>E59*F61</f>
        <v>0.32843999999999995</v>
      </c>
    </row>
    <row r="62" spans="1:7" ht="15">
      <c r="A62" s="8" t="s">
        <v>0</v>
      </c>
      <c r="B62" s="9" t="s">
        <v>0</v>
      </c>
      <c r="C62" s="9" t="s">
        <v>10</v>
      </c>
      <c r="D62" s="9" t="s">
        <v>9</v>
      </c>
      <c r="E62" s="159"/>
      <c r="F62" s="159">
        <f>0.006325</f>
        <v>0.006325</v>
      </c>
      <c r="G62" s="160">
        <f>E59*F62</f>
        <v>0.0759</v>
      </c>
    </row>
    <row r="63" spans="1:7" ht="15">
      <c r="A63" s="8" t="s">
        <v>0</v>
      </c>
      <c r="B63" s="9" t="s">
        <v>0</v>
      </c>
      <c r="C63" s="9" t="s">
        <v>38</v>
      </c>
      <c r="D63" s="9" t="s">
        <v>12</v>
      </c>
      <c r="E63" s="159"/>
      <c r="F63" s="159">
        <f>0.35</f>
        <v>0.35</v>
      </c>
      <c r="G63" s="160">
        <f>E59*F63</f>
        <v>4.199999999999999</v>
      </c>
    </row>
    <row r="64" spans="1:7" ht="15">
      <c r="A64" s="8" t="s">
        <v>0</v>
      </c>
      <c r="B64" s="9" t="s">
        <v>0</v>
      </c>
      <c r="C64" s="9" t="s">
        <v>13</v>
      </c>
      <c r="D64" s="9" t="s">
        <v>14</v>
      </c>
      <c r="E64" s="159"/>
      <c r="F64" s="159">
        <f>0.003</f>
        <v>0.003</v>
      </c>
      <c r="G64" s="160">
        <f>E59*F64</f>
        <v>0.036000000000000004</v>
      </c>
    </row>
    <row r="65" spans="1:7" ht="15">
      <c r="A65" s="8" t="s">
        <v>0</v>
      </c>
      <c r="B65" s="9" t="s">
        <v>0</v>
      </c>
      <c r="C65" s="9" t="s">
        <v>0</v>
      </c>
      <c r="D65" s="9" t="s">
        <v>0</v>
      </c>
      <c r="E65" s="159"/>
      <c r="F65" s="159"/>
      <c r="G65" s="160"/>
    </row>
    <row r="66" spans="1:7" ht="15">
      <c r="A66" s="8" t="s">
        <v>59</v>
      </c>
      <c r="B66" s="9" t="s">
        <v>60</v>
      </c>
      <c r="C66" s="9" t="s">
        <v>61</v>
      </c>
      <c r="D66" s="9" t="s">
        <v>62</v>
      </c>
      <c r="E66" s="159">
        <f>'Du toan chi tiet'!E28</f>
        <v>12</v>
      </c>
      <c r="F66" s="159"/>
      <c r="G66" s="160"/>
    </row>
    <row r="67" spans="1:7" ht="15">
      <c r="A67" s="8" t="s">
        <v>0</v>
      </c>
      <c r="B67" s="9" t="s">
        <v>0</v>
      </c>
      <c r="C67" s="9" t="s">
        <v>63</v>
      </c>
      <c r="D67" s="9" t="s">
        <v>0</v>
      </c>
      <c r="E67" s="159"/>
      <c r="F67" s="159"/>
      <c r="G67" s="160"/>
    </row>
    <row r="68" spans="1:7" ht="15">
      <c r="A68" s="8" t="s">
        <v>0</v>
      </c>
      <c r="B68" s="9" t="s">
        <v>0</v>
      </c>
      <c r="C68" s="9" t="s">
        <v>64</v>
      </c>
      <c r="D68" s="9" t="s">
        <v>65</v>
      </c>
      <c r="E68" s="159"/>
      <c r="F68" s="159">
        <f>0.15</f>
        <v>0.15</v>
      </c>
      <c r="G68" s="160">
        <f>E66*F68</f>
        <v>1.7999999999999998</v>
      </c>
    </row>
    <row r="69" spans="1:7" ht="15">
      <c r="A69" s="8" t="s">
        <v>0</v>
      </c>
      <c r="B69" s="9" t="s">
        <v>0</v>
      </c>
      <c r="C69" s="9" t="s">
        <v>66</v>
      </c>
      <c r="D69" s="9" t="s">
        <v>65</v>
      </c>
      <c r="E69" s="159"/>
      <c r="F69" s="159">
        <f>0.237</f>
        <v>0.237</v>
      </c>
      <c r="G69" s="160">
        <f>E66*F69</f>
        <v>2.844</v>
      </c>
    </row>
    <row r="70" spans="1:7" ht="15">
      <c r="A70" s="8" t="s">
        <v>0</v>
      </c>
      <c r="B70" s="9" t="s">
        <v>0</v>
      </c>
      <c r="C70" s="9" t="s">
        <v>38</v>
      </c>
      <c r="D70" s="9" t="s">
        <v>12</v>
      </c>
      <c r="E70" s="159"/>
      <c r="F70" s="159">
        <f>0.073</f>
        <v>0.073</v>
      </c>
      <c r="G70" s="160">
        <f>E66*F70</f>
        <v>0.8759999999999999</v>
      </c>
    </row>
    <row r="71" spans="1:7" ht="15">
      <c r="A71" s="8" t="s">
        <v>0</v>
      </c>
      <c r="B71" s="9" t="s">
        <v>0</v>
      </c>
      <c r="C71" s="9" t="s">
        <v>0</v>
      </c>
      <c r="D71" s="9" t="s">
        <v>0</v>
      </c>
      <c r="E71" s="159"/>
      <c r="F71" s="159"/>
      <c r="G71" s="160"/>
    </row>
    <row r="72" spans="1:7" ht="15">
      <c r="A72" s="8" t="s">
        <v>0</v>
      </c>
      <c r="B72" s="9" t="s">
        <v>0</v>
      </c>
      <c r="C72" s="9" t="s">
        <v>0</v>
      </c>
      <c r="D72" s="9" t="s">
        <v>0</v>
      </c>
      <c r="E72" s="159"/>
      <c r="F72" s="159"/>
      <c r="G72" s="160"/>
    </row>
    <row r="73" spans="1:7" ht="15.75">
      <c r="A73" s="26" t="s">
        <v>0</v>
      </c>
      <c r="B73" s="27" t="s">
        <v>0</v>
      </c>
      <c r="C73" s="27" t="s">
        <v>67</v>
      </c>
      <c r="D73" s="27" t="s">
        <v>0</v>
      </c>
      <c r="E73" s="157"/>
      <c r="F73" s="157"/>
      <c r="G73" s="158"/>
    </row>
    <row r="74" spans="1:7" ht="15">
      <c r="A74" s="8" t="s">
        <v>0</v>
      </c>
      <c r="B74" s="9" t="s">
        <v>0</v>
      </c>
      <c r="C74" s="9" t="s">
        <v>0</v>
      </c>
      <c r="D74" s="9" t="s">
        <v>0</v>
      </c>
      <c r="E74" s="159"/>
      <c r="F74" s="159"/>
      <c r="G74" s="160"/>
    </row>
    <row r="75" spans="1:7" ht="15">
      <c r="A75" s="8" t="s">
        <v>68</v>
      </c>
      <c r="B75" s="9" t="s">
        <v>69</v>
      </c>
      <c r="C75" s="9" t="s">
        <v>70</v>
      </c>
      <c r="D75" s="9" t="s">
        <v>19</v>
      </c>
      <c r="E75" s="159">
        <f>'Du toan chi tiet'!E34</f>
        <v>222.925</v>
      </c>
      <c r="F75" s="159"/>
      <c r="G75" s="160"/>
    </row>
    <row r="76" spans="1:7" ht="15">
      <c r="A76" s="8" t="s">
        <v>0</v>
      </c>
      <c r="B76" s="9" t="s">
        <v>0</v>
      </c>
      <c r="C76" s="9" t="s">
        <v>25</v>
      </c>
      <c r="D76" s="9" t="s">
        <v>12</v>
      </c>
      <c r="E76" s="159"/>
      <c r="F76" s="159">
        <f>0.06</f>
        <v>0.06</v>
      </c>
      <c r="G76" s="160">
        <f>E75*F76</f>
        <v>13.3755</v>
      </c>
    </row>
    <row r="77" spans="1:7" ht="15">
      <c r="A77" s="8" t="s">
        <v>0</v>
      </c>
      <c r="B77" s="9" t="s">
        <v>0</v>
      </c>
      <c r="C77" s="9" t="s">
        <v>0</v>
      </c>
      <c r="D77" s="9" t="s">
        <v>0</v>
      </c>
      <c r="E77" s="159"/>
      <c r="F77" s="159"/>
      <c r="G77" s="160"/>
    </row>
    <row r="78" spans="1:7" ht="15">
      <c r="A78" s="8" t="s">
        <v>71</v>
      </c>
      <c r="B78" s="9" t="s">
        <v>72</v>
      </c>
      <c r="C78" s="9" t="s">
        <v>73</v>
      </c>
      <c r="D78" s="9" t="s">
        <v>19</v>
      </c>
      <c r="E78" s="159">
        <f>'Du toan chi tiet'!E36</f>
        <v>71.36</v>
      </c>
      <c r="F78" s="159"/>
      <c r="G78" s="160"/>
    </row>
    <row r="79" spans="1:7" ht="15">
      <c r="A79" s="8" t="s">
        <v>0</v>
      </c>
      <c r="B79" s="9" t="s">
        <v>0</v>
      </c>
      <c r="C79" s="9" t="s">
        <v>25</v>
      </c>
      <c r="D79" s="9" t="s">
        <v>12</v>
      </c>
      <c r="E79" s="159"/>
      <c r="F79" s="159">
        <f>0.07</f>
        <v>0.07</v>
      </c>
      <c r="G79" s="160">
        <f>E78*F79</f>
        <v>4.9952000000000005</v>
      </c>
    </row>
    <row r="80" spans="1:7" ht="15">
      <c r="A80" s="8" t="s">
        <v>0</v>
      </c>
      <c r="B80" s="9" t="s">
        <v>0</v>
      </c>
      <c r="C80" s="9" t="s">
        <v>0</v>
      </c>
      <c r="D80" s="9" t="s">
        <v>0</v>
      </c>
      <c r="E80" s="159"/>
      <c r="F80" s="159"/>
      <c r="G80" s="160"/>
    </row>
    <row r="81" spans="1:7" ht="15">
      <c r="A81" s="8" t="s">
        <v>74</v>
      </c>
      <c r="B81" s="9" t="s">
        <v>75</v>
      </c>
      <c r="C81" s="9" t="s">
        <v>76</v>
      </c>
      <c r="D81" s="9" t="s">
        <v>5</v>
      </c>
      <c r="E81" s="159">
        <f>'Du toan chi tiet'!E38</f>
        <v>66.308</v>
      </c>
      <c r="F81" s="159"/>
      <c r="G81" s="160"/>
    </row>
    <row r="82" spans="1:7" ht="15">
      <c r="A82" s="8" t="s">
        <v>0</v>
      </c>
      <c r="B82" s="9" t="s">
        <v>0</v>
      </c>
      <c r="C82" s="9" t="s">
        <v>77</v>
      </c>
      <c r="D82" s="9" t="s">
        <v>0</v>
      </c>
      <c r="E82" s="159"/>
      <c r="F82" s="159"/>
      <c r="G82" s="160"/>
    </row>
    <row r="83" spans="1:7" ht="15">
      <c r="A83" s="8" t="s">
        <v>0</v>
      </c>
      <c r="B83" s="9" t="s">
        <v>0</v>
      </c>
      <c r="C83" s="9" t="s">
        <v>78</v>
      </c>
      <c r="D83" s="9" t="s">
        <v>12</v>
      </c>
      <c r="E83" s="159"/>
      <c r="F83" s="159">
        <f>0.42</f>
        <v>0.42</v>
      </c>
      <c r="G83" s="160">
        <f>E81*F83</f>
        <v>27.84936</v>
      </c>
    </row>
    <row r="84" spans="1:7" ht="15">
      <c r="A84" s="8" t="s">
        <v>0</v>
      </c>
      <c r="B84" s="9" t="s">
        <v>0</v>
      </c>
      <c r="C84" s="9" t="s">
        <v>0</v>
      </c>
      <c r="D84" s="9" t="s">
        <v>0</v>
      </c>
      <c r="E84" s="159"/>
      <c r="F84" s="159"/>
      <c r="G84" s="160"/>
    </row>
    <row r="85" spans="1:7" ht="15">
      <c r="A85" s="8" t="s">
        <v>79</v>
      </c>
      <c r="B85" s="9" t="s">
        <v>80</v>
      </c>
      <c r="C85" s="9" t="s">
        <v>81</v>
      </c>
      <c r="D85" s="9" t="s">
        <v>9</v>
      </c>
      <c r="E85" s="159">
        <f>'Du toan chi tiet'!E40</f>
        <v>1.433</v>
      </c>
      <c r="F85" s="159"/>
      <c r="G85" s="160"/>
    </row>
    <row r="86" spans="1:7" ht="15">
      <c r="A86" s="8" t="s">
        <v>0</v>
      </c>
      <c r="B86" s="9" t="s">
        <v>0</v>
      </c>
      <c r="C86" s="9" t="s">
        <v>25</v>
      </c>
      <c r="D86" s="9" t="s">
        <v>12</v>
      </c>
      <c r="E86" s="159"/>
      <c r="F86" s="159">
        <f>0.27</f>
        <v>0.27</v>
      </c>
      <c r="G86" s="160">
        <f>E85*F86</f>
        <v>0.38691000000000003</v>
      </c>
    </row>
    <row r="87" spans="1:7" ht="15">
      <c r="A87" s="8" t="s">
        <v>0</v>
      </c>
      <c r="B87" s="9" t="s">
        <v>0</v>
      </c>
      <c r="C87" s="9" t="s">
        <v>0</v>
      </c>
      <c r="D87" s="9" t="s">
        <v>0</v>
      </c>
      <c r="E87" s="159"/>
      <c r="F87" s="159"/>
      <c r="G87" s="160"/>
    </row>
    <row r="88" spans="1:7" ht="15">
      <c r="A88" s="8" t="s">
        <v>82</v>
      </c>
      <c r="B88" s="9" t="s">
        <v>83</v>
      </c>
      <c r="C88" s="9" t="s">
        <v>84</v>
      </c>
      <c r="D88" s="9" t="s">
        <v>9</v>
      </c>
      <c r="E88" s="159">
        <f>'Du toan chi tiet'!E42</f>
        <v>1.433</v>
      </c>
      <c r="F88" s="159"/>
      <c r="G88" s="160"/>
    </row>
    <row r="89" spans="1:7" ht="15">
      <c r="A89" s="8" t="s">
        <v>0</v>
      </c>
      <c r="B89" s="9" t="s">
        <v>0</v>
      </c>
      <c r="C89" s="9" t="s">
        <v>85</v>
      </c>
      <c r="D89" s="9" t="s">
        <v>0</v>
      </c>
      <c r="E89" s="159"/>
      <c r="F89" s="159"/>
      <c r="G89" s="160"/>
    </row>
    <row r="90" spans="1:7" ht="15">
      <c r="A90" s="8" t="s">
        <v>0</v>
      </c>
      <c r="B90" s="9" t="s">
        <v>0</v>
      </c>
      <c r="C90" s="9" t="s">
        <v>25</v>
      </c>
      <c r="D90" s="9" t="s">
        <v>12</v>
      </c>
      <c r="E90" s="159"/>
      <c r="F90" s="159">
        <f>0.17</f>
        <v>0.17</v>
      </c>
      <c r="G90" s="160">
        <f>E88*F90</f>
        <v>0.24361000000000002</v>
      </c>
    </row>
    <row r="91" spans="1:7" ht="15">
      <c r="A91" s="8" t="s">
        <v>0</v>
      </c>
      <c r="B91" s="9" t="s">
        <v>0</v>
      </c>
      <c r="C91" s="9" t="s">
        <v>0</v>
      </c>
      <c r="D91" s="9" t="s">
        <v>0</v>
      </c>
      <c r="E91" s="159"/>
      <c r="F91" s="159"/>
      <c r="G91" s="160"/>
    </row>
    <row r="92" spans="1:7" ht="15">
      <c r="A92" s="8" t="s">
        <v>86</v>
      </c>
      <c r="B92" s="9" t="s">
        <v>87</v>
      </c>
      <c r="C92" s="9" t="s">
        <v>88</v>
      </c>
      <c r="D92" s="9" t="s">
        <v>89</v>
      </c>
      <c r="E92" s="159">
        <f>'Du toan chi tiet'!E44</f>
        <v>1.433</v>
      </c>
      <c r="F92" s="159"/>
      <c r="G92" s="160"/>
    </row>
    <row r="93" spans="1:7" ht="15">
      <c r="A93" s="8" t="s">
        <v>0</v>
      </c>
      <c r="B93" s="9" t="s">
        <v>0</v>
      </c>
      <c r="C93" s="9" t="s">
        <v>90</v>
      </c>
      <c r="D93" s="9" t="s">
        <v>14</v>
      </c>
      <c r="E93" s="159"/>
      <c r="F93" s="159">
        <f>0.01</f>
        <v>0.01</v>
      </c>
      <c r="G93" s="160">
        <f>E92*F93</f>
        <v>0.01433</v>
      </c>
    </row>
    <row r="94" spans="1:7" ht="15">
      <c r="A94" s="8" t="s">
        <v>0</v>
      </c>
      <c r="B94" s="9" t="s">
        <v>0</v>
      </c>
      <c r="C94" s="9" t="s">
        <v>0</v>
      </c>
      <c r="D94" s="9" t="s">
        <v>0</v>
      </c>
      <c r="E94" s="159"/>
      <c r="F94" s="159"/>
      <c r="G94" s="160"/>
    </row>
    <row r="95" spans="1:7" ht="15">
      <c r="A95" s="8" t="s">
        <v>91</v>
      </c>
      <c r="B95" s="9" t="s">
        <v>92</v>
      </c>
      <c r="C95" s="9" t="s">
        <v>93</v>
      </c>
      <c r="D95" s="9" t="s">
        <v>5</v>
      </c>
      <c r="E95" s="159">
        <f>'Du toan chi tiet'!E46</f>
        <v>29.708</v>
      </c>
      <c r="F95" s="159"/>
      <c r="G95" s="160"/>
    </row>
    <row r="96" spans="1:7" ht="15">
      <c r="A96" s="8" t="s">
        <v>0</v>
      </c>
      <c r="B96" s="9" t="s">
        <v>0</v>
      </c>
      <c r="C96" s="9" t="s">
        <v>94</v>
      </c>
      <c r="D96" s="9" t="s">
        <v>0</v>
      </c>
      <c r="E96" s="159"/>
      <c r="F96" s="159"/>
      <c r="G96" s="160"/>
    </row>
    <row r="97" spans="1:7" ht="15">
      <c r="A97" s="8" t="s">
        <v>0</v>
      </c>
      <c r="B97" s="9" t="s">
        <v>0</v>
      </c>
      <c r="C97" s="9" t="s">
        <v>6</v>
      </c>
      <c r="D97" s="9" t="s">
        <v>7</v>
      </c>
      <c r="E97" s="159"/>
      <c r="F97" s="159">
        <f>5.117</f>
        <v>5.117</v>
      </c>
      <c r="G97" s="160">
        <f>E95*F97</f>
        <v>152.01583599999998</v>
      </c>
    </row>
    <row r="98" spans="1:7" ht="15">
      <c r="A98" s="8" t="s">
        <v>0</v>
      </c>
      <c r="B98" s="9" t="s">
        <v>0</v>
      </c>
      <c r="C98" s="9" t="s">
        <v>95</v>
      </c>
      <c r="D98" s="9" t="s">
        <v>9</v>
      </c>
      <c r="E98" s="159"/>
      <c r="F98" s="159">
        <f>0.019703</f>
        <v>0.019703</v>
      </c>
      <c r="G98" s="160">
        <f>E95*F98</f>
        <v>0.5853367239999999</v>
      </c>
    </row>
    <row r="99" spans="1:7" ht="15">
      <c r="A99" s="8" t="s">
        <v>0</v>
      </c>
      <c r="B99" s="9" t="s">
        <v>0</v>
      </c>
      <c r="C99" s="9" t="s">
        <v>10</v>
      </c>
      <c r="D99" s="9" t="s">
        <v>9</v>
      </c>
      <c r="E99" s="159"/>
      <c r="F99" s="159">
        <f>0.004726</f>
        <v>0.004726</v>
      </c>
      <c r="G99" s="160">
        <f>E95*F99</f>
        <v>0.140400008</v>
      </c>
    </row>
    <row r="100" spans="1:7" ht="15">
      <c r="A100" s="8" t="s">
        <v>0</v>
      </c>
      <c r="B100" s="9" t="s">
        <v>0</v>
      </c>
      <c r="C100" s="9" t="s">
        <v>38</v>
      </c>
      <c r="D100" s="9" t="s">
        <v>12</v>
      </c>
      <c r="E100" s="159"/>
      <c r="F100" s="159">
        <f>0.26</f>
        <v>0.26</v>
      </c>
      <c r="G100" s="160">
        <f>E95*F100</f>
        <v>7.72408</v>
      </c>
    </row>
    <row r="101" spans="1:7" ht="15">
      <c r="A101" s="8" t="s">
        <v>0</v>
      </c>
      <c r="B101" s="9" t="s">
        <v>0</v>
      </c>
      <c r="C101" s="9" t="s">
        <v>13</v>
      </c>
      <c r="D101" s="9" t="s">
        <v>14</v>
      </c>
      <c r="E101" s="159"/>
      <c r="F101" s="159">
        <f>0.002</f>
        <v>0.002</v>
      </c>
      <c r="G101" s="160">
        <f>E95*F101</f>
        <v>0.059416</v>
      </c>
    </row>
    <row r="102" spans="1:7" ht="15">
      <c r="A102" s="8" t="s">
        <v>0</v>
      </c>
      <c r="B102" s="9" t="s">
        <v>0</v>
      </c>
      <c r="C102" s="9" t="s">
        <v>0</v>
      </c>
      <c r="D102" s="9" t="s">
        <v>0</v>
      </c>
      <c r="E102" s="159"/>
      <c r="F102" s="159"/>
      <c r="G102" s="160"/>
    </row>
    <row r="103" spans="1:7" ht="15">
      <c r="A103" s="8" t="s">
        <v>96</v>
      </c>
      <c r="B103" s="9" t="s">
        <v>97</v>
      </c>
      <c r="C103" s="9" t="s">
        <v>98</v>
      </c>
      <c r="D103" s="9" t="s">
        <v>5</v>
      </c>
      <c r="E103" s="159">
        <f>'Du toan chi tiet'!E48</f>
        <v>36.6</v>
      </c>
      <c r="F103" s="159"/>
      <c r="G103" s="160"/>
    </row>
    <row r="104" spans="1:7" ht="15">
      <c r="A104" s="8" t="s">
        <v>0</v>
      </c>
      <c r="B104" s="9" t="s">
        <v>0</v>
      </c>
      <c r="C104" s="9" t="s">
        <v>99</v>
      </c>
      <c r="D104" s="9" t="s">
        <v>0</v>
      </c>
      <c r="E104" s="159"/>
      <c r="F104" s="159"/>
      <c r="G104" s="160"/>
    </row>
    <row r="105" spans="1:7" ht="15">
      <c r="A105" s="8" t="s">
        <v>0</v>
      </c>
      <c r="B105" s="9" t="s">
        <v>0</v>
      </c>
      <c r="C105" s="9" t="s">
        <v>6</v>
      </c>
      <c r="D105" s="9" t="s">
        <v>7</v>
      </c>
      <c r="E105" s="159"/>
      <c r="F105" s="159">
        <f>5.117</f>
        <v>5.117</v>
      </c>
      <c r="G105" s="160">
        <f>E103*F105</f>
        <v>187.28220000000002</v>
      </c>
    </row>
    <row r="106" spans="1:7" ht="15">
      <c r="A106" s="8" t="s">
        <v>0</v>
      </c>
      <c r="B106" s="9" t="s">
        <v>0</v>
      </c>
      <c r="C106" s="9" t="s">
        <v>95</v>
      </c>
      <c r="D106" s="9" t="s">
        <v>9</v>
      </c>
      <c r="E106" s="159"/>
      <c r="F106" s="159">
        <f>0.019703</f>
        <v>0.019703</v>
      </c>
      <c r="G106" s="160">
        <f>E103*F106</f>
        <v>0.7211297999999999</v>
      </c>
    </row>
    <row r="107" spans="1:7" ht="15">
      <c r="A107" s="8" t="s">
        <v>0</v>
      </c>
      <c r="B107" s="9" t="s">
        <v>0</v>
      </c>
      <c r="C107" s="9" t="s">
        <v>10</v>
      </c>
      <c r="D107" s="9" t="s">
        <v>9</v>
      </c>
      <c r="E107" s="159"/>
      <c r="F107" s="159">
        <f>0.004726</f>
        <v>0.004726</v>
      </c>
      <c r="G107" s="160">
        <f>E103*F107</f>
        <v>0.1729716</v>
      </c>
    </row>
    <row r="108" spans="1:7" ht="15">
      <c r="A108" s="8" t="s">
        <v>0</v>
      </c>
      <c r="B108" s="9" t="s">
        <v>0</v>
      </c>
      <c r="C108" s="9" t="s">
        <v>38</v>
      </c>
      <c r="D108" s="9" t="s">
        <v>12</v>
      </c>
      <c r="E108" s="159"/>
      <c r="F108" s="159">
        <f>0.2</f>
        <v>0.2</v>
      </c>
      <c r="G108" s="160">
        <f>E103*F108</f>
        <v>7.32</v>
      </c>
    </row>
    <row r="109" spans="1:7" ht="15">
      <c r="A109" s="8" t="s">
        <v>0</v>
      </c>
      <c r="B109" s="9" t="s">
        <v>0</v>
      </c>
      <c r="C109" s="9" t="s">
        <v>13</v>
      </c>
      <c r="D109" s="9" t="s">
        <v>14</v>
      </c>
      <c r="E109" s="159"/>
      <c r="F109" s="159">
        <f>0.002</f>
        <v>0.002</v>
      </c>
      <c r="G109" s="160">
        <f>E103*F109</f>
        <v>0.0732</v>
      </c>
    </row>
    <row r="110" spans="1:7" ht="15">
      <c r="A110" s="8" t="s">
        <v>0</v>
      </c>
      <c r="B110" s="9" t="s">
        <v>0</v>
      </c>
      <c r="C110" s="9" t="s">
        <v>0</v>
      </c>
      <c r="D110" s="9" t="s">
        <v>0</v>
      </c>
      <c r="E110" s="159"/>
      <c r="F110" s="159"/>
      <c r="G110" s="160"/>
    </row>
    <row r="111" spans="1:7" ht="15">
      <c r="A111" s="8" t="s">
        <v>100</v>
      </c>
      <c r="B111" s="9" t="s">
        <v>60</v>
      </c>
      <c r="C111" s="9" t="s">
        <v>101</v>
      </c>
      <c r="D111" s="9" t="s">
        <v>62</v>
      </c>
      <c r="E111" s="159">
        <f>'Du toan chi tiet'!E50</f>
        <v>177.385</v>
      </c>
      <c r="F111" s="159"/>
      <c r="G111" s="160"/>
    </row>
    <row r="112" spans="1:7" ht="15">
      <c r="A112" s="8" t="s">
        <v>0</v>
      </c>
      <c r="B112" s="9" t="s">
        <v>0</v>
      </c>
      <c r="C112" s="9" t="s">
        <v>63</v>
      </c>
      <c r="D112" s="9" t="s">
        <v>0</v>
      </c>
      <c r="E112" s="159"/>
      <c r="F112" s="159"/>
      <c r="G112" s="160"/>
    </row>
    <row r="113" spans="1:7" ht="15">
      <c r="A113" s="8" t="s">
        <v>0</v>
      </c>
      <c r="B113" s="9" t="s">
        <v>0</v>
      </c>
      <c r="C113" s="9" t="s">
        <v>64</v>
      </c>
      <c r="D113" s="9" t="s">
        <v>65</v>
      </c>
      <c r="E113" s="159"/>
      <c r="F113" s="159">
        <f>0.15</f>
        <v>0.15</v>
      </c>
      <c r="G113" s="160">
        <f>E111*F113</f>
        <v>26.60775</v>
      </c>
    </row>
    <row r="114" spans="1:7" ht="15">
      <c r="A114" s="8" t="s">
        <v>0</v>
      </c>
      <c r="B114" s="9" t="s">
        <v>0</v>
      </c>
      <c r="C114" s="9" t="s">
        <v>66</v>
      </c>
      <c r="D114" s="9" t="s">
        <v>65</v>
      </c>
      <c r="E114" s="159"/>
      <c r="F114" s="159">
        <f>0.237</f>
        <v>0.237</v>
      </c>
      <c r="G114" s="160">
        <f>E111*F114</f>
        <v>42.040245</v>
      </c>
    </row>
    <row r="115" spans="1:7" ht="15">
      <c r="A115" s="8" t="s">
        <v>0</v>
      </c>
      <c r="B115" s="9" t="s">
        <v>0</v>
      </c>
      <c r="C115" s="9" t="s">
        <v>38</v>
      </c>
      <c r="D115" s="9" t="s">
        <v>12</v>
      </c>
      <c r="E115" s="159"/>
      <c r="F115" s="159">
        <f>0.073</f>
        <v>0.073</v>
      </c>
      <c r="G115" s="160">
        <f>E111*F115</f>
        <v>12.949104999999998</v>
      </c>
    </row>
    <row r="116" spans="1:7" ht="15">
      <c r="A116" s="8" t="s">
        <v>0</v>
      </c>
      <c r="B116" s="9" t="s">
        <v>0</v>
      </c>
      <c r="C116" s="9" t="s">
        <v>0</v>
      </c>
      <c r="D116" s="9" t="s">
        <v>0</v>
      </c>
      <c r="E116" s="159"/>
      <c r="F116" s="159"/>
      <c r="G116" s="160"/>
    </row>
    <row r="117" spans="1:7" ht="15">
      <c r="A117" s="8" t="s">
        <v>102</v>
      </c>
      <c r="B117" s="9" t="s">
        <v>103</v>
      </c>
      <c r="C117" s="9" t="s">
        <v>104</v>
      </c>
      <c r="D117" s="9" t="s">
        <v>5</v>
      </c>
      <c r="E117" s="159">
        <f>'Du toan chi tiet'!E52</f>
        <v>170.72</v>
      </c>
      <c r="F117" s="159"/>
      <c r="G117" s="160"/>
    </row>
    <row r="118" spans="1:7" ht="15">
      <c r="A118" s="8" t="s">
        <v>0</v>
      </c>
      <c r="B118" s="9" t="s">
        <v>0</v>
      </c>
      <c r="C118" s="9" t="s">
        <v>105</v>
      </c>
      <c r="D118" s="9" t="s">
        <v>0</v>
      </c>
      <c r="E118" s="159"/>
      <c r="F118" s="159"/>
      <c r="G118" s="160"/>
    </row>
    <row r="119" spans="1:7" ht="15">
      <c r="A119" s="8" t="s">
        <v>0</v>
      </c>
      <c r="B119" s="9" t="s">
        <v>0</v>
      </c>
      <c r="C119" s="9" t="s">
        <v>106</v>
      </c>
      <c r="D119" s="9" t="s">
        <v>65</v>
      </c>
      <c r="E119" s="159"/>
      <c r="F119" s="159">
        <f>0.158</f>
        <v>0.158</v>
      </c>
      <c r="G119" s="160">
        <f>E117*F119</f>
        <v>26.97376</v>
      </c>
    </row>
    <row r="120" spans="1:7" ht="15">
      <c r="A120" s="8" t="s">
        <v>0</v>
      </c>
      <c r="B120" s="9" t="s">
        <v>0</v>
      </c>
      <c r="C120" s="9" t="s">
        <v>107</v>
      </c>
      <c r="D120" s="9" t="s">
        <v>65</v>
      </c>
      <c r="E120" s="159"/>
      <c r="F120" s="159">
        <f>0.252</f>
        <v>0.252</v>
      </c>
      <c r="G120" s="160">
        <f>E117*F120</f>
        <v>43.02144</v>
      </c>
    </row>
    <row r="121" spans="1:7" ht="15">
      <c r="A121" s="8" t="s">
        <v>0</v>
      </c>
      <c r="B121" s="9" t="s">
        <v>0</v>
      </c>
      <c r="C121" s="9" t="s">
        <v>38</v>
      </c>
      <c r="D121" s="9" t="s">
        <v>12</v>
      </c>
      <c r="E121" s="159"/>
      <c r="F121" s="159">
        <f>0.076</f>
        <v>0.076</v>
      </c>
      <c r="G121" s="160">
        <f>E117*F121</f>
        <v>12.97472</v>
      </c>
    </row>
    <row r="122" spans="1:7" ht="15">
      <c r="A122" s="8" t="s">
        <v>0</v>
      </c>
      <c r="B122" s="9" t="s">
        <v>0</v>
      </c>
      <c r="C122" s="9" t="s">
        <v>0</v>
      </c>
      <c r="D122" s="9" t="s">
        <v>0</v>
      </c>
      <c r="E122" s="159"/>
      <c r="F122" s="159"/>
      <c r="G122" s="160"/>
    </row>
    <row r="123" spans="1:7" ht="15">
      <c r="A123" s="8" t="s">
        <v>108</v>
      </c>
      <c r="B123" s="9" t="s">
        <v>109</v>
      </c>
      <c r="C123" s="9" t="s">
        <v>110</v>
      </c>
      <c r="D123" s="9" t="s">
        <v>5</v>
      </c>
      <c r="E123" s="159">
        <f>'Du toan chi tiet'!E54</f>
        <v>131.44</v>
      </c>
      <c r="F123" s="159"/>
      <c r="G123" s="160"/>
    </row>
    <row r="124" spans="1:7" ht="15">
      <c r="A124" s="8" t="s">
        <v>0</v>
      </c>
      <c r="B124" s="9" t="s">
        <v>0</v>
      </c>
      <c r="C124" s="9" t="s">
        <v>25</v>
      </c>
      <c r="D124" s="9" t="s">
        <v>12</v>
      </c>
      <c r="E124" s="159"/>
      <c r="F124" s="159">
        <f>0.08</f>
        <v>0.08</v>
      </c>
      <c r="G124" s="160">
        <f>E123*F124</f>
        <v>10.5152</v>
      </c>
    </row>
    <row r="125" spans="1:7" ht="15">
      <c r="A125" s="8" t="s">
        <v>0</v>
      </c>
      <c r="B125" s="9" t="s">
        <v>0</v>
      </c>
      <c r="C125" s="9" t="s">
        <v>0</v>
      </c>
      <c r="D125" s="9" t="s">
        <v>0</v>
      </c>
      <c r="E125" s="159"/>
      <c r="F125" s="159"/>
      <c r="G125" s="160"/>
    </row>
    <row r="126" spans="1:7" ht="15">
      <c r="A126" s="8" t="s">
        <v>111</v>
      </c>
      <c r="B126" s="9" t="s">
        <v>80</v>
      </c>
      <c r="C126" s="9" t="s">
        <v>81</v>
      </c>
      <c r="D126" s="9" t="s">
        <v>9</v>
      </c>
      <c r="E126" s="159">
        <f>'Du toan chi tiet'!E56</f>
        <v>3.943</v>
      </c>
      <c r="F126" s="159"/>
      <c r="G126" s="160"/>
    </row>
    <row r="127" spans="1:7" ht="15">
      <c r="A127" s="8" t="s">
        <v>0</v>
      </c>
      <c r="B127" s="9" t="s">
        <v>0</v>
      </c>
      <c r="C127" s="9" t="s">
        <v>25</v>
      </c>
      <c r="D127" s="9" t="s">
        <v>12</v>
      </c>
      <c r="E127" s="159"/>
      <c r="F127" s="159">
        <f>0.27</f>
        <v>0.27</v>
      </c>
      <c r="G127" s="160">
        <f>E126*F127</f>
        <v>1.06461</v>
      </c>
    </row>
    <row r="128" spans="1:7" ht="15">
      <c r="A128" s="8" t="s">
        <v>0</v>
      </c>
      <c r="B128" s="9" t="s">
        <v>0</v>
      </c>
      <c r="C128" s="9" t="s">
        <v>0</v>
      </c>
      <c r="D128" s="9" t="s">
        <v>0</v>
      </c>
      <c r="E128" s="159"/>
      <c r="F128" s="159"/>
      <c r="G128" s="160"/>
    </row>
    <row r="129" spans="1:7" ht="15">
      <c r="A129" s="8" t="s">
        <v>112</v>
      </c>
      <c r="B129" s="9" t="s">
        <v>83</v>
      </c>
      <c r="C129" s="9" t="s">
        <v>84</v>
      </c>
      <c r="D129" s="9" t="s">
        <v>9</v>
      </c>
      <c r="E129" s="159">
        <f>'Du toan chi tiet'!E58</f>
        <v>3.943</v>
      </c>
      <c r="F129" s="159"/>
      <c r="G129" s="160"/>
    </row>
    <row r="130" spans="1:7" ht="15">
      <c r="A130" s="8" t="s">
        <v>0</v>
      </c>
      <c r="B130" s="9" t="s">
        <v>0</v>
      </c>
      <c r="C130" s="9" t="s">
        <v>85</v>
      </c>
      <c r="D130" s="9" t="s">
        <v>0</v>
      </c>
      <c r="E130" s="159"/>
      <c r="F130" s="159"/>
      <c r="G130" s="160"/>
    </row>
    <row r="131" spans="1:7" ht="15">
      <c r="A131" s="8" t="s">
        <v>0</v>
      </c>
      <c r="B131" s="9" t="s">
        <v>0</v>
      </c>
      <c r="C131" s="9" t="s">
        <v>25</v>
      </c>
      <c r="D131" s="9" t="s">
        <v>12</v>
      </c>
      <c r="E131" s="159"/>
      <c r="F131" s="159">
        <f>0.17</f>
        <v>0.17</v>
      </c>
      <c r="G131" s="160">
        <f>E129*F131</f>
        <v>0.6703100000000001</v>
      </c>
    </row>
    <row r="132" spans="1:7" ht="15">
      <c r="A132" s="8" t="s">
        <v>0</v>
      </c>
      <c r="B132" s="9" t="s">
        <v>0</v>
      </c>
      <c r="C132" s="9" t="s">
        <v>0</v>
      </c>
      <c r="D132" s="9" t="s">
        <v>0</v>
      </c>
      <c r="E132" s="159"/>
      <c r="F132" s="159"/>
      <c r="G132" s="160"/>
    </row>
    <row r="133" spans="1:7" ht="15">
      <c r="A133" s="8" t="s">
        <v>113</v>
      </c>
      <c r="B133" s="9" t="s">
        <v>114</v>
      </c>
      <c r="C133" s="9" t="s">
        <v>115</v>
      </c>
      <c r="D133" s="9" t="s">
        <v>89</v>
      </c>
      <c r="E133" s="159">
        <f>'Du toan chi tiet'!E60</f>
        <v>3.943</v>
      </c>
      <c r="F133" s="159"/>
      <c r="G133" s="160"/>
    </row>
    <row r="134" spans="1:7" ht="15">
      <c r="A134" s="8" t="s">
        <v>0</v>
      </c>
      <c r="B134" s="9" t="s">
        <v>0</v>
      </c>
      <c r="C134" s="9" t="s">
        <v>116</v>
      </c>
      <c r="D134" s="9" t="s">
        <v>14</v>
      </c>
      <c r="E134" s="159"/>
      <c r="F134" s="159">
        <f>0.006</f>
        <v>0.006</v>
      </c>
      <c r="G134" s="160">
        <f>E133*F134</f>
        <v>0.023658000000000002</v>
      </c>
    </row>
    <row r="135" spans="1:7" ht="15">
      <c r="A135" s="8" t="s">
        <v>0</v>
      </c>
      <c r="B135" s="9" t="s">
        <v>0</v>
      </c>
      <c r="C135" s="9" t="s">
        <v>0</v>
      </c>
      <c r="D135" s="9" t="s">
        <v>0</v>
      </c>
      <c r="E135" s="159"/>
      <c r="F135" s="159"/>
      <c r="G135" s="160"/>
    </row>
    <row r="136" spans="1:7" ht="15">
      <c r="A136" s="8" t="s">
        <v>117</v>
      </c>
      <c r="B136" s="9" t="s">
        <v>3</v>
      </c>
      <c r="C136" s="9" t="s">
        <v>4</v>
      </c>
      <c r="D136" s="9" t="s">
        <v>5</v>
      </c>
      <c r="E136" s="159">
        <f>'Du toan chi tiet'!E62</f>
        <v>131.44</v>
      </c>
      <c r="F136" s="159"/>
      <c r="G136" s="160"/>
    </row>
    <row r="137" spans="1:7" ht="15">
      <c r="A137" s="8" t="s">
        <v>0</v>
      </c>
      <c r="B137" s="9" t="s">
        <v>0</v>
      </c>
      <c r="C137" s="9" t="s">
        <v>6</v>
      </c>
      <c r="D137" s="9" t="s">
        <v>7</v>
      </c>
      <c r="E137" s="159"/>
      <c r="F137" s="159">
        <f>6.6</f>
        <v>6.6</v>
      </c>
      <c r="G137" s="160">
        <f>E136*F137</f>
        <v>867.5039999999999</v>
      </c>
    </row>
    <row r="138" spans="1:7" ht="15">
      <c r="A138" s="8" t="s">
        <v>0</v>
      </c>
      <c r="B138" s="9" t="s">
        <v>0</v>
      </c>
      <c r="C138" s="9" t="s">
        <v>8</v>
      </c>
      <c r="D138" s="9" t="s">
        <v>9</v>
      </c>
      <c r="E138" s="159"/>
      <c r="F138" s="159">
        <f>0.02975</f>
        <v>0.02975</v>
      </c>
      <c r="G138" s="160">
        <f>E136*F138</f>
        <v>3.9103399999999997</v>
      </c>
    </row>
    <row r="139" spans="1:7" ht="15">
      <c r="A139" s="8" t="s">
        <v>0</v>
      </c>
      <c r="B139" s="9" t="s">
        <v>0</v>
      </c>
      <c r="C139" s="9" t="s">
        <v>10</v>
      </c>
      <c r="D139" s="9" t="s">
        <v>9</v>
      </c>
      <c r="E139" s="159"/>
      <c r="F139" s="159">
        <f>0.006875</f>
        <v>0.006875</v>
      </c>
      <c r="G139" s="160">
        <f>E136*F139</f>
        <v>0.90365</v>
      </c>
    </row>
    <row r="140" spans="1:7" ht="15">
      <c r="A140" s="8" t="s">
        <v>0</v>
      </c>
      <c r="B140" s="9" t="s">
        <v>0</v>
      </c>
      <c r="C140" s="9" t="s">
        <v>11</v>
      </c>
      <c r="D140" s="9" t="s">
        <v>12</v>
      </c>
      <c r="E140" s="159"/>
      <c r="F140" s="159">
        <f>0.068</f>
        <v>0.068</v>
      </c>
      <c r="G140" s="160">
        <f>E136*F140</f>
        <v>8.93792</v>
      </c>
    </row>
    <row r="141" spans="1:7" ht="15">
      <c r="A141" s="8" t="s">
        <v>0</v>
      </c>
      <c r="B141" s="9" t="s">
        <v>0</v>
      </c>
      <c r="C141" s="9" t="s">
        <v>13</v>
      </c>
      <c r="D141" s="9" t="s">
        <v>14</v>
      </c>
      <c r="E141" s="159"/>
      <c r="F141" s="159">
        <f>0.004</f>
        <v>0.004</v>
      </c>
      <c r="G141" s="160">
        <f>E136*F141</f>
        <v>0.52576</v>
      </c>
    </row>
    <row r="142" spans="1:7" ht="15">
      <c r="A142" s="8" t="s">
        <v>0</v>
      </c>
      <c r="B142" s="9" t="s">
        <v>0</v>
      </c>
      <c r="C142" s="9" t="s">
        <v>0</v>
      </c>
      <c r="D142" s="9" t="s">
        <v>0</v>
      </c>
      <c r="E142" s="159"/>
      <c r="F142" s="159"/>
      <c r="G142" s="160"/>
    </row>
    <row r="143" spans="1:7" ht="15">
      <c r="A143" s="8" t="s">
        <v>118</v>
      </c>
      <c r="B143" s="9" t="s">
        <v>119</v>
      </c>
      <c r="C143" s="9" t="s">
        <v>120</v>
      </c>
      <c r="D143" s="9" t="s">
        <v>5</v>
      </c>
      <c r="E143" s="159">
        <f>'Du toan chi tiet'!E64</f>
        <v>131.44</v>
      </c>
      <c r="F143" s="159"/>
      <c r="G143" s="160"/>
    </row>
    <row r="144" spans="1:7" ht="15">
      <c r="A144" s="8" t="s">
        <v>0</v>
      </c>
      <c r="B144" s="9" t="s">
        <v>0</v>
      </c>
      <c r="C144" s="9" t="s">
        <v>121</v>
      </c>
      <c r="D144" s="9" t="s">
        <v>19</v>
      </c>
      <c r="E144" s="159"/>
      <c r="F144" s="159">
        <f>1.01</f>
        <v>1.01</v>
      </c>
      <c r="G144" s="160">
        <f>E143*F144</f>
        <v>132.7544</v>
      </c>
    </row>
    <row r="145" spans="1:7" ht="15">
      <c r="A145" s="8" t="s">
        <v>0</v>
      </c>
      <c r="B145" s="9" t="s">
        <v>0</v>
      </c>
      <c r="C145" s="9" t="s">
        <v>6</v>
      </c>
      <c r="D145" s="9" t="s">
        <v>7</v>
      </c>
      <c r="E145" s="159"/>
      <c r="F145" s="159">
        <f>6.6</f>
        <v>6.6</v>
      </c>
      <c r="G145" s="160">
        <f>E143*F145</f>
        <v>867.5039999999999</v>
      </c>
    </row>
    <row r="146" spans="1:7" ht="15">
      <c r="A146" s="8" t="s">
        <v>0</v>
      </c>
      <c r="B146" s="9" t="s">
        <v>0</v>
      </c>
      <c r="C146" s="9" t="s">
        <v>8</v>
      </c>
      <c r="D146" s="9" t="s">
        <v>9</v>
      </c>
      <c r="E146" s="159"/>
      <c r="F146" s="159">
        <f>0.02975</f>
        <v>0.02975</v>
      </c>
      <c r="G146" s="160">
        <f>E143*F146</f>
        <v>3.9103399999999997</v>
      </c>
    </row>
    <row r="147" spans="1:7" ht="15">
      <c r="A147" s="8" t="s">
        <v>0</v>
      </c>
      <c r="B147" s="9" t="s">
        <v>0</v>
      </c>
      <c r="C147" s="9" t="s">
        <v>10</v>
      </c>
      <c r="D147" s="9" t="s">
        <v>9</v>
      </c>
      <c r="E147" s="159"/>
      <c r="F147" s="159">
        <f>0.006875</f>
        <v>0.006875</v>
      </c>
      <c r="G147" s="160">
        <f>E143*F147</f>
        <v>0.90365</v>
      </c>
    </row>
    <row r="148" spans="1:7" ht="15">
      <c r="A148" s="8" t="s">
        <v>0</v>
      </c>
      <c r="B148" s="9" t="s">
        <v>0</v>
      </c>
      <c r="C148" s="9" t="s">
        <v>122</v>
      </c>
      <c r="D148" s="9" t="s">
        <v>7</v>
      </c>
      <c r="E148" s="159"/>
      <c r="F148" s="159">
        <f>0.65</f>
        <v>0.65</v>
      </c>
      <c r="G148" s="160">
        <f>E143*F148</f>
        <v>85.436</v>
      </c>
    </row>
    <row r="149" spans="1:7" ht="15">
      <c r="A149" s="8" t="s">
        <v>0</v>
      </c>
      <c r="B149" s="9" t="s">
        <v>0</v>
      </c>
      <c r="C149" s="9" t="s">
        <v>123</v>
      </c>
      <c r="D149" s="9" t="s">
        <v>7</v>
      </c>
      <c r="E149" s="159"/>
      <c r="F149" s="159">
        <f>0.1</f>
        <v>0.1</v>
      </c>
      <c r="G149" s="160">
        <f>E143*F149</f>
        <v>13.144</v>
      </c>
    </row>
    <row r="150" spans="1:7" ht="15">
      <c r="A150" s="8" t="s">
        <v>0</v>
      </c>
      <c r="B150" s="9" t="s">
        <v>0</v>
      </c>
      <c r="C150" s="9" t="s">
        <v>11</v>
      </c>
      <c r="D150" s="9" t="s">
        <v>12</v>
      </c>
      <c r="E150" s="159"/>
      <c r="F150" s="159">
        <f>0.14</f>
        <v>0.14</v>
      </c>
      <c r="G150" s="160">
        <f>E143*F150</f>
        <v>18.401600000000002</v>
      </c>
    </row>
    <row r="151" spans="1:7" ht="15">
      <c r="A151" s="8" t="s">
        <v>0</v>
      </c>
      <c r="B151" s="9" t="s">
        <v>0</v>
      </c>
      <c r="C151" s="9" t="s">
        <v>124</v>
      </c>
      <c r="D151" s="9" t="s">
        <v>14</v>
      </c>
      <c r="E151" s="159"/>
      <c r="F151" s="159">
        <f>0.04</f>
        <v>0.04</v>
      </c>
      <c r="G151" s="160">
        <f>E143*F151</f>
        <v>5.2576</v>
      </c>
    </row>
    <row r="152" spans="1:7" ht="15">
      <c r="A152" s="8" t="s">
        <v>0</v>
      </c>
      <c r="B152" s="9" t="s">
        <v>0</v>
      </c>
      <c r="C152" s="9" t="s">
        <v>0</v>
      </c>
      <c r="D152" s="9" t="s">
        <v>0</v>
      </c>
      <c r="E152" s="159"/>
      <c r="F152" s="159"/>
      <c r="G152" s="160"/>
    </row>
    <row r="153" spans="1:7" ht="15">
      <c r="A153" s="8" t="s">
        <v>125</v>
      </c>
      <c r="B153" s="9" t="s">
        <v>126</v>
      </c>
      <c r="C153" s="9" t="s">
        <v>127</v>
      </c>
      <c r="D153" s="9" t="s">
        <v>5</v>
      </c>
      <c r="E153" s="159">
        <f>'Du toan chi tiet'!E66</f>
        <v>93.44</v>
      </c>
      <c r="F153" s="159"/>
      <c r="G153" s="160"/>
    </row>
    <row r="154" spans="1:7" ht="15">
      <c r="A154" s="8" t="s">
        <v>0</v>
      </c>
      <c r="B154" s="9" t="s">
        <v>0</v>
      </c>
      <c r="C154" s="9" t="s">
        <v>128</v>
      </c>
      <c r="D154" s="9" t="s">
        <v>19</v>
      </c>
      <c r="E154" s="159"/>
      <c r="F154" s="159">
        <f>1.05</f>
        <v>1.05</v>
      </c>
      <c r="G154" s="160">
        <f>E153*F154</f>
        <v>98.112</v>
      </c>
    </row>
    <row r="155" spans="1:7" ht="15">
      <c r="A155" s="8" t="s">
        <v>0</v>
      </c>
      <c r="B155" s="9" t="s">
        <v>0</v>
      </c>
      <c r="C155" s="9" t="s">
        <v>0</v>
      </c>
      <c r="D155" s="9" t="s">
        <v>0</v>
      </c>
      <c r="E155" s="159"/>
      <c r="F155" s="159"/>
      <c r="G155" s="160"/>
    </row>
    <row r="156" spans="1:7" ht="15">
      <c r="A156" s="8" t="s">
        <v>0</v>
      </c>
      <c r="B156" s="9" t="s">
        <v>0</v>
      </c>
      <c r="C156" s="9" t="s">
        <v>0</v>
      </c>
      <c r="D156" s="9" t="s">
        <v>0</v>
      </c>
      <c r="E156" s="159"/>
      <c r="F156" s="159"/>
      <c r="G156" s="160"/>
    </row>
    <row r="157" spans="1:7" ht="15.75">
      <c r="A157" s="26" t="s">
        <v>0</v>
      </c>
      <c r="B157" s="27" t="s">
        <v>0</v>
      </c>
      <c r="C157" s="27" t="s">
        <v>129</v>
      </c>
      <c r="D157" s="27" t="s">
        <v>0</v>
      </c>
      <c r="E157" s="157"/>
      <c r="F157" s="157"/>
      <c r="G157" s="158"/>
    </row>
    <row r="158" spans="1:7" ht="15">
      <c r="A158" s="8" t="s">
        <v>0</v>
      </c>
      <c r="B158" s="9" t="s">
        <v>0</v>
      </c>
      <c r="C158" s="9" t="s">
        <v>0</v>
      </c>
      <c r="D158" s="9" t="s">
        <v>0</v>
      </c>
      <c r="E158" s="159"/>
      <c r="F158" s="159"/>
      <c r="G158" s="160"/>
    </row>
    <row r="159" spans="1:7" ht="15">
      <c r="A159" s="8" t="s">
        <v>130</v>
      </c>
      <c r="B159" s="9" t="s">
        <v>69</v>
      </c>
      <c r="C159" s="9" t="s">
        <v>70</v>
      </c>
      <c r="D159" s="9" t="s">
        <v>19</v>
      </c>
      <c r="E159" s="159">
        <f>'Du toan chi tiet'!E71</f>
        <v>203.843</v>
      </c>
      <c r="F159" s="159"/>
      <c r="G159" s="160"/>
    </row>
    <row r="160" spans="1:7" ht="15">
      <c r="A160" s="8" t="s">
        <v>0</v>
      </c>
      <c r="B160" s="9" t="s">
        <v>0</v>
      </c>
      <c r="C160" s="9" t="s">
        <v>25</v>
      </c>
      <c r="D160" s="9" t="s">
        <v>12</v>
      </c>
      <c r="E160" s="159"/>
      <c r="F160" s="159">
        <f>0.06</f>
        <v>0.06</v>
      </c>
      <c r="G160" s="160">
        <f>E159*F160</f>
        <v>12.23058</v>
      </c>
    </row>
    <row r="161" spans="1:7" ht="15">
      <c r="A161" s="8" t="s">
        <v>0</v>
      </c>
      <c r="B161" s="9" t="s">
        <v>0</v>
      </c>
      <c r="C161" s="9" t="s">
        <v>0</v>
      </c>
      <c r="D161" s="9" t="s">
        <v>0</v>
      </c>
      <c r="E161" s="159"/>
      <c r="F161" s="159"/>
      <c r="G161" s="160"/>
    </row>
    <row r="162" spans="1:7" ht="15">
      <c r="A162" s="8" t="s">
        <v>131</v>
      </c>
      <c r="B162" s="9" t="s">
        <v>72</v>
      </c>
      <c r="C162" s="9" t="s">
        <v>73</v>
      </c>
      <c r="D162" s="9" t="s">
        <v>19</v>
      </c>
      <c r="E162" s="159">
        <f>'Du toan chi tiet'!E73</f>
        <v>69.18</v>
      </c>
      <c r="F162" s="159"/>
      <c r="G162" s="160"/>
    </row>
    <row r="163" spans="1:7" ht="15">
      <c r="A163" s="8" t="s">
        <v>0</v>
      </c>
      <c r="B163" s="9" t="s">
        <v>0</v>
      </c>
      <c r="C163" s="9" t="s">
        <v>25</v>
      </c>
      <c r="D163" s="9" t="s">
        <v>12</v>
      </c>
      <c r="E163" s="159"/>
      <c r="F163" s="159">
        <f>0.07</f>
        <v>0.07</v>
      </c>
      <c r="G163" s="160">
        <f>E162*F163</f>
        <v>4.842600000000001</v>
      </c>
    </row>
    <row r="164" spans="1:7" ht="15">
      <c r="A164" s="8" t="s">
        <v>0</v>
      </c>
      <c r="B164" s="9" t="s">
        <v>0</v>
      </c>
      <c r="C164" s="9" t="s">
        <v>0</v>
      </c>
      <c r="D164" s="9" t="s">
        <v>0</v>
      </c>
      <c r="E164" s="159"/>
      <c r="F164" s="159"/>
      <c r="G164" s="160"/>
    </row>
    <row r="165" spans="1:7" ht="15">
      <c r="A165" s="8" t="s">
        <v>132</v>
      </c>
      <c r="B165" s="9" t="s">
        <v>75</v>
      </c>
      <c r="C165" s="9" t="s">
        <v>76</v>
      </c>
      <c r="D165" s="9" t="s">
        <v>5</v>
      </c>
      <c r="E165" s="159">
        <f>'Du toan chi tiet'!E75</f>
        <v>58.13</v>
      </c>
      <c r="F165" s="159"/>
      <c r="G165" s="160"/>
    </row>
    <row r="166" spans="1:7" ht="15">
      <c r="A166" s="8" t="s">
        <v>0</v>
      </c>
      <c r="B166" s="9" t="s">
        <v>0</v>
      </c>
      <c r="C166" s="9" t="s">
        <v>77</v>
      </c>
      <c r="D166" s="9" t="s">
        <v>0</v>
      </c>
      <c r="E166" s="159"/>
      <c r="F166" s="159"/>
      <c r="G166" s="160"/>
    </row>
    <row r="167" spans="1:7" ht="15">
      <c r="A167" s="8" t="s">
        <v>0</v>
      </c>
      <c r="B167" s="9" t="s">
        <v>0</v>
      </c>
      <c r="C167" s="9" t="s">
        <v>78</v>
      </c>
      <c r="D167" s="9" t="s">
        <v>12</v>
      </c>
      <c r="E167" s="159"/>
      <c r="F167" s="159">
        <f>0.42</f>
        <v>0.42</v>
      </c>
      <c r="G167" s="160">
        <f>E165*F167</f>
        <v>24.4146</v>
      </c>
    </row>
    <row r="168" spans="1:7" ht="15">
      <c r="A168" s="8" t="s">
        <v>0</v>
      </c>
      <c r="B168" s="9" t="s">
        <v>0</v>
      </c>
      <c r="C168" s="9" t="s">
        <v>0</v>
      </c>
      <c r="D168" s="9" t="s">
        <v>0</v>
      </c>
      <c r="E168" s="159"/>
      <c r="F168" s="159"/>
      <c r="G168" s="160"/>
    </row>
    <row r="169" spans="1:7" ht="15">
      <c r="A169" s="8" t="s">
        <v>133</v>
      </c>
      <c r="B169" s="9" t="s">
        <v>80</v>
      </c>
      <c r="C169" s="9" t="s">
        <v>81</v>
      </c>
      <c r="D169" s="9" t="s">
        <v>9</v>
      </c>
      <c r="E169" s="159">
        <f>'Du toan chi tiet'!E77</f>
        <v>1.31</v>
      </c>
      <c r="F169" s="159"/>
      <c r="G169" s="160"/>
    </row>
    <row r="170" spans="1:7" ht="15">
      <c r="A170" s="8" t="s">
        <v>0</v>
      </c>
      <c r="B170" s="9" t="s">
        <v>0</v>
      </c>
      <c r="C170" s="9" t="s">
        <v>25</v>
      </c>
      <c r="D170" s="9" t="s">
        <v>12</v>
      </c>
      <c r="E170" s="159"/>
      <c r="F170" s="159">
        <f>0.27</f>
        <v>0.27</v>
      </c>
      <c r="G170" s="160">
        <f>E169*F170</f>
        <v>0.3537</v>
      </c>
    </row>
    <row r="171" spans="1:7" ht="15">
      <c r="A171" s="8" t="s">
        <v>0</v>
      </c>
      <c r="B171" s="9" t="s">
        <v>0</v>
      </c>
      <c r="C171" s="9" t="s">
        <v>0</v>
      </c>
      <c r="D171" s="9" t="s">
        <v>0</v>
      </c>
      <c r="E171" s="159"/>
      <c r="F171" s="159"/>
      <c r="G171" s="160"/>
    </row>
    <row r="172" spans="1:7" ht="15">
      <c r="A172" s="8" t="s">
        <v>134</v>
      </c>
      <c r="B172" s="9" t="s">
        <v>83</v>
      </c>
      <c r="C172" s="9" t="s">
        <v>84</v>
      </c>
      <c r="D172" s="9" t="s">
        <v>9</v>
      </c>
      <c r="E172" s="159">
        <f>'Du toan chi tiet'!E79</f>
        <v>1.31</v>
      </c>
      <c r="F172" s="159"/>
      <c r="G172" s="160"/>
    </row>
    <row r="173" spans="1:7" ht="15">
      <c r="A173" s="8" t="s">
        <v>0</v>
      </c>
      <c r="B173" s="9" t="s">
        <v>0</v>
      </c>
      <c r="C173" s="9" t="s">
        <v>85</v>
      </c>
      <c r="D173" s="9" t="s">
        <v>0</v>
      </c>
      <c r="E173" s="159"/>
      <c r="F173" s="159"/>
      <c r="G173" s="160"/>
    </row>
    <row r="174" spans="1:7" ht="15">
      <c r="A174" s="8" t="s">
        <v>0</v>
      </c>
      <c r="B174" s="9" t="s">
        <v>0</v>
      </c>
      <c r="C174" s="9" t="s">
        <v>25</v>
      </c>
      <c r="D174" s="9" t="s">
        <v>12</v>
      </c>
      <c r="E174" s="159"/>
      <c r="F174" s="159">
        <f>0.17</f>
        <v>0.17</v>
      </c>
      <c r="G174" s="160">
        <f>E172*F174</f>
        <v>0.22270000000000004</v>
      </c>
    </row>
    <row r="175" spans="1:7" ht="15">
      <c r="A175" s="8" t="s">
        <v>0</v>
      </c>
      <c r="B175" s="9" t="s">
        <v>0</v>
      </c>
      <c r="C175" s="9" t="s">
        <v>0</v>
      </c>
      <c r="D175" s="9" t="s">
        <v>0</v>
      </c>
      <c r="E175" s="159"/>
      <c r="F175" s="159"/>
      <c r="G175" s="160"/>
    </row>
    <row r="176" spans="1:7" ht="15">
      <c r="A176" s="8" t="s">
        <v>135</v>
      </c>
      <c r="B176" s="9" t="s">
        <v>87</v>
      </c>
      <c r="C176" s="9" t="s">
        <v>88</v>
      </c>
      <c r="D176" s="9" t="s">
        <v>89</v>
      </c>
      <c r="E176" s="159">
        <f>'Du toan chi tiet'!E81</f>
        <v>1.31</v>
      </c>
      <c r="F176" s="159"/>
      <c r="G176" s="160"/>
    </row>
    <row r="177" spans="1:7" ht="15">
      <c r="A177" s="8" t="s">
        <v>0</v>
      </c>
      <c r="B177" s="9" t="s">
        <v>0</v>
      </c>
      <c r="C177" s="9" t="s">
        <v>90</v>
      </c>
      <c r="D177" s="9" t="s">
        <v>14</v>
      </c>
      <c r="E177" s="159"/>
      <c r="F177" s="159">
        <f>0.01</f>
        <v>0.01</v>
      </c>
      <c r="G177" s="160">
        <f>E176*F177</f>
        <v>0.0131</v>
      </c>
    </row>
    <row r="178" spans="1:7" ht="15">
      <c r="A178" s="8" t="s">
        <v>0</v>
      </c>
      <c r="B178" s="9" t="s">
        <v>0</v>
      </c>
      <c r="C178" s="9" t="s">
        <v>0</v>
      </c>
      <c r="D178" s="9" t="s">
        <v>0</v>
      </c>
      <c r="E178" s="159"/>
      <c r="F178" s="159"/>
      <c r="G178" s="160"/>
    </row>
    <row r="179" spans="1:7" ht="15">
      <c r="A179" s="8" t="s">
        <v>136</v>
      </c>
      <c r="B179" s="9" t="s">
        <v>92</v>
      </c>
      <c r="C179" s="9" t="s">
        <v>93</v>
      </c>
      <c r="D179" s="9" t="s">
        <v>5</v>
      </c>
      <c r="E179" s="159">
        <f>'Du toan chi tiet'!E83</f>
        <v>24.831</v>
      </c>
      <c r="F179" s="159"/>
      <c r="G179" s="160"/>
    </row>
    <row r="180" spans="1:7" ht="15">
      <c r="A180" s="8" t="s">
        <v>0</v>
      </c>
      <c r="B180" s="9" t="s">
        <v>0</v>
      </c>
      <c r="C180" s="9" t="s">
        <v>94</v>
      </c>
      <c r="D180" s="9" t="s">
        <v>0</v>
      </c>
      <c r="E180" s="159"/>
      <c r="F180" s="159"/>
      <c r="G180" s="160"/>
    </row>
    <row r="181" spans="1:7" ht="15">
      <c r="A181" s="8" t="s">
        <v>0</v>
      </c>
      <c r="B181" s="9" t="s">
        <v>0</v>
      </c>
      <c r="C181" s="9" t="s">
        <v>6</v>
      </c>
      <c r="D181" s="9" t="s">
        <v>7</v>
      </c>
      <c r="E181" s="159"/>
      <c r="F181" s="159">
        <f>5.117</f>
        <v>5.117</v>
      </c>
      <c r="G181" s="160">
        <f>E179*F181</f>
        <v>127.060227</v>
      </c>
    </row>
    <row r="182" spans="1:7" ht="15">
      <c r="A182" s="8" t="s">
        <v>0</v>
      </c>
      <c r="B182" s="9" t="s">
        <v>0</v>
      </c>
      <c r="C182" s="9" t="s">
        <v>95</v>
      </c>
      <c r="D182" s="9" t="s">
        <v>9</v>
      </c>
      <c r="E182" s="159"/>
      <c r="F182" s="159">
        <f>0.019703</f>
        <v>0.019703</v>
      </c>
      <c r="G182" s="160">
        <f>E179*F182</f>
        <v>0.48924519299999997</v>
      </c>
    </row>
    <row r="183" spans="1:7" ht="15">
      <c r="A183" s="8" t="s">
        <v>0</v>
      </c>
      <c r="B183" s="9" t="s">
        <v>0</v>
      </c>
      <c r="C183" s="9" t="s">
        <v>10</v>
      </c>
      <c r="D183" s="9" t="s">
        <v>9</v>
      </c>
      <c r="E183" s="159"/>
      <c r="F183" s="159">
        <f>0.004726</f>
        <v>0.004726</v>
      </c>
      <c r="G183" s="160">
        <f>E179*F183</f>
        <v>0.117351306</v>
      </c>
    </row>
    <row r="184" spans="1:7" ht="15">
      <c r="A184" s="8" t="s">
        <v>0</v>
      </c>
      <c r="B184" s="9" t="s">
        <v>0</v>
      </c>
      <c r="C184" s="9" t="s">
        <v>38</v>
      </c>
      <c r="D184" s="9" t="s">
        <v>12</v>
      </c>
      <c r="E184" s="159"/>
      <c r="F184" s="159">
        <f>0.26</f>
        <v>0.26</v>
      </c>
      <c r="G184" s="160">
        <f>E179*F184</f>
        <v>6.45606</v>
      </c>
    </row>
    <row r="185" spans="1:7" ht="15">
      <c r="A185" s="8" t="s">
        <v>0</v>
      </c>
      <c r="B185" s="9" t="s">
        <v>0</v>
      </c>
      <c r="C185" s="9" t="s">
        <v>13</v>
      </c>
      <c r="D185" s="9" t="s">
        <v>14</v>
      </c>
      <c r="E185" s="159"/>
      <c r="F185" s="159">
        <f>0.002</f>
        <v>0.002</v>
      </c>
      <c r="G185" s="160">
        <f>E179*F185</f>
        <v>0.049662</v>
      </c>
    </row>
    <row r="186" spans="1:7" ht="15">
      <c r="A186" s="8" t="s">
        <v>0</v>
      </c>
      <c r="B186" s="9" t="s">
        <v>0</v>
      </c>
      <c r="C186" s="9" t="s">
        <v>0</v>
      </c>
      <c r="D186" s="9" t="s">
        <v>0</v>
      </c>
      <c r="E186" s="159"/>
      <c r="F186" s="159"/>
      <c r="G186" s="160"/>
    </row>
    <row r="187" spans="1:7" ht="15">
      <c r="A187" s="8" t="s">
        <v>137</v>
      </c>
      <c r="B187" s="9" t="s">
        <v>97</v>
      </c>
      <c r="C187" s="9" t="s">
        <v>98</v>
      </c>
      <c r="D187" s="9" t="s">
        <v>5</v>
      </c>
      <c r="E187" s="159">
        <f>'Du toan chi tiet'!E85</f>
        <v>47.915</v>
      </c>
      <c r="F187" s="159"/>
      <c r="G187" s="160"/>
    </row>
    <row r="188" spans="1:7" ht="15">
      <c r="A188" s="8" t="s">
        <v>0</v>
      </c>
      <c r="B188" s="9" t="s">
        <v>0</v>
      </c>
      <c r="C188" s="9" t="s">
        <v>99</v>
      </c>
      <c r="D188" s="9" t="s">
        <v>0</v>
      </c>
      <c r="E188" s="159"/>
      <c r="F188" s="159"/>
      <c r="G188" s="160"/>
    </row>
    <row r="189" spans="1:7" ht="15">
      <c r="A189" s="8" t="s">
        <v>0</v>
      </c>
      <c r="B189" s="9" t="s">
        <v>0</v>
      </c>
      <c r="C189" s="9" t="s">
        <v>6</v>
      </c>
      <c r="D189" s="9" t="s">
        <v>7</v>
      </c>
      <c r="E189" s="159"/>
      <c r="F189" s="159">
        <f>5.117</f>
        <v>5.117</v>
      </c>
      <c r="G189" s="160">
        <f>E187*F189</f>
        <v>245.181055</v>
      </c>
    </row>
    <row r="190" spans="1:7" ht="15">
      <c r="A190" s="8" t="s">
        <v>0</v>
      </c>
      <c r="B190" s="9" t="s">
        <v>0</v>
      </c>
      <c r="C190" s="9" t="s">
        <v>95</v>
      </c>
      <c r="D190" s="9" t="s">
        <v>9</v>
      </c>
      <c r="E190" s="159"/>
      <c r="F190" s="159">
        <f>0.019703</f>
        <v>0.019703</v>
      </c>
      <c r="G190" s="160">
        <f>E187*F190</f>
        <v>0.9440692449999999</v>
      </c>
    </row>
    <row r="191" spans="1:7" ht="15">
      <c r="A191" s="8" t="s">
        <v>0</v>
      </c>
      <c r="B191" s="9" t="s">
        <v>0</v>
      </c>
      <c r="C191" s="9" t="s">
        <v>10</v>
      </c>
      <c r="D191" s="9" t="s">
        <v>9</v>
      </c>
      <c r="E191" s="159"/>
      <c r="F191" s="159">
        <f>0.004726</f>
        <v>0.004726</v>
      </c>
      <c r="G191" s="160">
        <f>E187*F191</f>
        <v>0.22644629</v>
      </c>
    </row>
    <row r="192" spans="1:7" ht="15">
      <c r="A192" s="8" t="s">
        <v>0</v>
      </c>
      <c r="B192" s="9" t="s">
        <v>0</v>
      </c>
      <c r="C192" s="9" t="s">
        <v>38</v>
      </c>
      <c r="D192" s="9" t="s">
        <v>12</v>
      </c>
      <c r="E192" s="159"/>
      <c r="F192" s="159">
        <f>0.2</f>
        <v>0.2</v>
      </c>
      <c r="G192" s="160">
        <f>E187*F192</f>
        <v>9.583</v>
      </c>
    </row>
    <row r="193" spans="1:7" ht="15">
      <c r="A193" s="8" t="s">
        <v>0</v>
      </c>
      <c r="B193" s="9" t="s">
        <v>0</v>
      </c>
      <c r="C193" s="9" t="s">
        <v>13</v>
      </c>
      <c r="D193" s="9" t="s">
        <v>14</v>
      </c>
      <c r="E193" s="159"/>
      <c r="F193" s="159">
        <f>0.002</f>
        <v>0.002</v>
      </c>
      <c r="G193" s="160">
        <f>E187*F193</f>
        <v>0.09583</v>
      </c>
    </row>
    <row r="194" spans="1:7" ht="15">
      <c r="A194" s="8" t="s">
        <v>0</v>
      </c>
      <c r="B194" s="9" t="s">
        <v>0</v>
      </c>
      <c r="C194" s="9" t="s">
        <v>0</v>
      </c>
      <c r="D194" s="9" t="s">
        <v>0</v>
      </c>
      <c r="E194" s="159"/>
      <c r="F194" s="159"/>
      <c r="G194" s="160"/>
    </row>
    <row r="195" spans="1:7" ht="15">
      <c r="A195" s="8" t="s">
        <v>138</v>
      </c>
      <c r="B195" s="9" t="s">
        <v>60</v>
      </c>
      <c r="C195" s="9" t="s">
        <v>101</v>
      </c>
      <c r="D195" s="9" t="s">
        <v>62</v>
      </c>
      <c r="E195" s="159">
        <f>'Du toan chi tiet'!E87</f>
        <v>149.468</v>
      </c>
      <c r="F195" s="159"/>
      <c r="G195" s="160"/>
    </row>
    <row r="196" spans="1:7" ht="15">
      <c r="A196" s="8" t="s">
        <v>0</v>
      </c>
      <c r="B196" s="9" t="s">
        <v>0</v>
      </c>
      <c r="C196" s="9" t="s">
        <v>63</v>
      </c>
      <c r="D196" s="9" t="s">
        <v>0</v>
      </c>
      <c r="E196" s="159"/>
      <c r="F196" s="159"/>
      <c r="G196" s="160"/>
    </row>
    <row r="197" spans="1:7" ht="15">
      <c r="A197" s="8" t="s">
        <v>0</v>
      </c>
      <c r="B197" s="9" t="s">
        <v>0</v>
      </c>
      <c r="C197" s="9" t="s">
        <v>64</v>
      </c>
      <c r="D197" s="9" t="s">
        <v>65</v>
      </c>
      <c r="E197" s="159"/>
      <c r="F197" s="159">
        <f>0.15</f>
        <v>0.15</v>
      </c>
      <c r="G197" s="160">
        <f>E195*F197</f>
        <v>22.420199999999998</v>
      </c>
    </row>
    <row r="198" spans="1:7" ht="15">
      <c r="A198" s="8" t="s">
        <v>0</v>
      </c>
      <c r="B198" s="9" t="s">
        <v>0</v>
      </c>
      <c r="C198" s="9" t="s">
        <v>66</v>
      </c>
      <c r="D198" s="9" t="s">
        <v>65</v>
      </c>
      <c r="E198" s="159"/>
      <c r="F198" s="159">
        <f>0.237</f>
        <v>0.237</v>
      </c>
      <c r="G198" s="160">
        <f>E195*F198</f>
        <v>35.423916</v>
      </c>
    </row>
    <row r="199" spans="1:7" ht="15">
      <c r="A199" s="8" t="s">
        <v>0</v>
      </c>
      <c r="B199" s="9" t="s">
        <v>0</v>
      </c>
      <c r="C199" s="9" t="s">
        <v>38</v>
      </c>
      <c r="D199" s="9" t="s">
        <v>12</v>
      </c>
      <c r="E199" s="159"/>
      <c r="F199" s="159">
        <f>0.073</f>
        <v>0.073</v>
      </c>
      <c r="G199" s="160">
        <f>E195*F199</f>
        <v>10.911164</v>
      </c>
    </row>
    <row r="200" spans="1:7" ht="15">
      <c r="A200" s="8" t="s">
        <v>0</v>
      </c>
      <c r="B200" s="9" t="s">
        <v>0</v>
      </c>
      <c r="C200" s="9" t="s">
        <v>0</v>
      </c>
      <c r="D200" s="9" t="s">
        <v>0</v>
      </c>
      <c r="E200" s="159"/>
      <c r="F200" s="159"/>
      <c r="G200" s="160"/>
    </row>
    <row r="201" spans="1:7" ht="15">
      <c r="A201" s="8" t="s">
        <v>139</v>
      </c>
      <c r="B201" s="9" t="s">
        <v>103</v>
      </c>
      <c r="C201" s="9" t="s">
        <v>104</v>
      </c>
      <c r="D201" s="9" t="s">
        <v>5</v>
      </c>
      <c r="E201" s="159">
        <f>'Du toan chi tiet'!E89</f>
        <v>159.717</v>
      </c>
      <c r="F201" s="159"/>
      <c r="G201" s="160"/>
    </row>
    <row r="202" spans="1:7" ht="15">
      <c r="A202" s="8" t="s">
        <v>0</v>
      </c>
      <c r="B202" s="9" t="s">
        <v>0</v>
      </c>
      <c r="C202" s="9" t="s">
        <v>105</v>
      </c>
      <c r="D202" s="9" t="s">
        <v>0</v>
      </c>
      <c r="E202" s="159"/>
      <c r="F202" s="159"/>
      <c r="G202" s="160"/>
    </row>
    <row r="203" spans="1:7" ht="15">
      <c r="A203" s="8" t="s">
        <v>0</v>
      </c>
      <c r="B203" s="9" t="s">
        <v>0</v>
      </c>
      <c r="C203" s="9" t="s">
        <v>106</v>
      </c>
      <c r="D203" s="9" t="s">
        <v>65</v>
      </c>
      <c r="E203" s="159"/>
      <c r="F203" s="159">
        <f>0.158</f>
        <v>0.158</v>
      </c>
      <c r="G203" s="160">
        <f>E201*F203</f>
        <v>25.235286000000002</v>
      </c>
    </row>
    <row r="204" spans="1:7" ht="15">
      <c r="A204" s="8" t="s">
        <v>0</v>
      </c>
      <c r="B204" s="9" t="s">
        <v>0</v>
      </c>
      <c r="C204" s="9" t="s">
        <v>107</v>
      </c>
      <c r="D204" s="9" t="s">
        <v>65</v>
      </c>
      <c r="E204" s="159"/>
      <c r="F204" s="159">
        <f>0.252</f>
        <v>0.252</v>
      </c>
      <c r="G204" s="160">
        <f>E201*F204</f>
        <v>40.248684000000004</v>
      </c>
    </row>
    <row r="205" spans="1:7" ht="15">
      <c r="A205" s="8" t="s">
        <v>0</v>
      </c>
      <c r="B205" s="9" t="s">
        <v>0</v>
      </c>
      <c r="C205" s="9" t="s">
        <v>38</v>
      </c>
      <c r="D205" s="9" t="s">
        <v>12</v>
      </c>
      <c r="E205" s="159"/>
      <c r="F205" s="159">
        <f>0.076</f>
        <v>0.076</v>
      </c>
      <c r="G205" s="160">
        <f>E201*F205</f>
        <v>12.138492000000001</v>
      </c>
    </row>
    <row r="206" spans="1:7" ht="15">
      <c r="A206" s="8" t="s">
        <v>0</v>
      </c>
      <c r="B206" s="9" t="s">
        <v>0</v>
      </c>
      <c r="C206" s="9" t="s">
        <v>0</v>
      </c>
      <c r="D206" s="9" t="s">
        <v>0</v>
      </c>
      <c r="E206" s="159"/>
      <c r="F206" s="159"/>
      <c r="G206" s="160"/>
    </row>
    <row r="207" spans="1:7" ht="15">
      <c r="A207" s="8" t="s">
        <v>140</v>
      </c>
      <c r="B207" s="9" t="s">
        <v>109</v>
      </c>
      <c r="C207" s="9" t="s">
        <v>110</v>
      </c>
      <c r="D207" s="9" t="s">
        <v>5</v>
      </c>
      <c r="E207" s="159">
        <f>'Du toan chi tiet'!E91</f>
        <v>99.69</v>
      </c>
      <c r="F207" s="159"/>
      <c r="G207" s="160"/>
    </row>
    <row r="208" spans="1:7" ht="15">
      <c r="A208" s="8" t="s">
        <v>0</v>
      </c>
      <c r="B208" s="9" t="s">
        <v>0</v>
      </c>
      <c r="C208" s="9" t="s">
        <v>25</v>
      </c>
      <c r="D208" s="9" t="s">
        <v>12</v>
      </c>
      <c r="E208" s="159"/>
      <c r="F208" s="159">
        <f>0.08</f>
        <v>0.08</v>
      </c>
      <c r="G208" s="160">
        <f>E207*F208</f>
        <v>7.9752</v>
      </c>
    </row>
    <row r="209" spans="1:7" ht="15">
      <c r="A209" s="8" t="s">
        <v>0</v>
      </c>
      <c r="B209" s="9" t="s">
        <v>0</v>
      </c>
      <c r="C209" s="9" t="s">
        <v>0</v>
      </c>
      <c r="D209" s="9" t="s">
        <v>0</v>
      </c>
      <c r="E209" s="159"/>
      <c r="F209" s="159"/>
      <c r="G209" s="160"/>
    </row>
    <row r="210" spans="1:7" ht="15">
      <c r="A210" s="8" t="s">
        <v>141</v>
      </c>
      <c r="B210" s="9" t="s">
        <v>80</v>
      </c>
      <c r="C210" s="9" t="s">
        <v>81</v>
      </c>
      <c r="D210" s="9" t="s">
        <v>9</v>
      </c>
      <c r="E210" s="159">
        <f>'Du toan chi tiet'!E93</f>
        <v>2.991</v>
      </c>
      <c r="F210" s="159"/>
      <c r="G210" s="160"/>
    </row>
    <row r="211" spans="1:7" ht="15">
      <c r="A211" s="8" t="s">
        <v>0</v>
      </c>
      <c r="B211" s="9" t="s">
        <v>0</v>
      </c>
      <c r="C211" s="9" t="s">
        <v>25</v>
      </c>
      <c r="D211" s="9" t="s">
        <v>12</v>
      </c>
      <c r="E211" s="159"/>
      <c r="F211" s="159">
        <f>0.27</f>
        <v>0.27</v>
      </c>
      <c r="G211" s="160">
        <f>E210*F211</f>
        <v>0.8075700000000001</v>
      </c>
    </row>
    <row r="212" spans="1:7" ht="15">
      <c r="A212" s="8" t="s">
        <v>0</v>
      </c>
      <c r="B212" s="9" t="s">
        <v>0</v>
      </c>
      <c r="C212" s="9" t="s">
        <v>0</v>
      </c>
      <c r="D212" s="9" t="s">
        <v>0</v>
      </c>
      <c r="E212" s="159"/>
      <c r="F212" s="159"/>
      <c r="G212" s="160"/>
    </row>
    <row r="213" spans="1:7" ht="15">
      <c r="A213" s="8" t="s">
        <v>142</v>
      </c>
      <c r="B213" s="9" t="s">
        <v>83</v>
      </c>
      <c r="C213" s="9" t="s">
        <v>84</v>
      </c>
      <c r="D213" s="9" t="s">
        <v>9</v>
      </c>
      <c r="E213" s="159">
        <f>'Du toan chi tiet'!E95</f>
        <v>2.991</v>
      </c>
      <c r="F213" s="159"/>
      <c r="G213" s="160"/>
    </row>
    <row r="214" spans="1:7" ht="15">
      <c r="A214" s="8" t="s">
        <v>0</v>
      </c>
      <c r="B214" s="9" t="s">
        <v>0</v>
      </c>
      <c r="C214" s="9" t="s">
        <v>85</v>
      </c>
      <c r="D214" s="9" t="s">
        <v>0</v>
      </c>
      <c r="E214" s="159"/>
      <c r="F214" s="159"/>
      <c r="G214" s="160"/>
    </row>
    <row r="215" spans="1:7" ht="15">
      <c r="A215" s="8" t="s">
        <v>0</v>
      </c>
      <c r="B215" s="9" t="s">
        <v>0</v>
      </c>
      <c r="C215" s="9" t="s">
        <v>25</v>
      </c>
      <c r="D215" s="9" t="s">
        <v>12</v>
      </c>
      <c r="E215" s="159"/>
      <c r="F215" s="159">
        <f>0.17</f>
        <v>0.17</v>
      </c>
      <c r="G215" s="160">
        <f>E213*F215</f>
        <v>0.5084700000000001</v>
      </c>
    </row>
    <row r="216" spans="1:7" ht="15">
      <c r="A216" s="8" t="s">
        <v>0</v>
      </c>
      <c r="B216" s="9" t="s">
        <v>0</v>
      </c>
      <c r="C216" s="9" t="s">
        <v>0</v>
      </c>
      <c r="D216" s="9" t="s">
        <v>0</v>
      </c>
      <c r="E216" s="159"/>
      <c r="F216" s="159"/>
      <c r="G216" s="160"/>
    </row>
    <row r="217" spans="1:7" ht="15">
      <c r="A217" s="8" t="s">
        <v>143</v>
      </c>
      <c r="B217" s="9" t="s">
        <v>114</v>
      </c>
      <c r="C217" s="9" t="s">
        <v>115</v>
      </c>
      <c r="D217" s="9" t="s">
        <v>89</v>
      </c>
      <c r="E217" s="159">
        <f>'Du toan chi tiet'!E97</f>
        <v>2.991</v>
      </c>
      <c r="F217" s="159"/>
      <c r="G217" s="160"/>
    </row>
    <row r="218" spans="1:7" ht="15">
      <c r="A218" s="8" t="s">
        <v>0</v>
      </c>
      <c r="B218" s="9" t="s">
        <v>0</v>
      </c>
      <c r="C218" s="9" t="s">
        <v>116</v>
      </c>
      <c r="D218" s="9" t="s">
        <v>14</v>
      </c>
      <c r="E218" s="159"/>
      <c r="F218" s="159">
        <f>0.006</f>
        <v>0.006</v>
      </c>
      <c r="G218" s="160">
        <f>E217*F218</f>
        <v>0.017946</v>
      </c>
    </row>
    <row r="219" spans="1:7" ht="15">
      <c r="A219" s="8" t="s">
        <v>0</v>
      </c>
      <c r="B219" s="9" t="s">
        <v>0</v>
      </c>
      <c r="C219" s="9" t="s">
        <v>0</v>
      </c>
      <c r="D219" s="9" t="s">
        <v>0</v>
      </c>
      <c r="E219" s="159"/>
      <c r="F219" s="159"/>
      <c r="G219" s="160"/>
    </row>
    <row r="220" spans="1:7" ht="15">
      <c r="A220" s="8" t="s">
        <v>144</v>
      </c>
      <c r="B220" s="9" t="s">
        <v>3</v>
      </c>
      <c r="C220" s="9" t="s">
        <v>4</v>
      </c>
      <c r="D220" s="9" t="s">
        <v>5</v>
      </c>
      <c r="E220" s="159">
        <f>'Du toan chi tiet'!E99</f>
        <v>99.69</v>
      </c>
      <c r="F220" s="159"/>
      <c r="G220" s="160"/>
    </row>
    <row r="221" spans="1:7" ht="15">
      <c r="A221" s="8" t="s">
        <v>0</v>
      </c>
      <c r="B221" s="9" t="s">
        <v>0</v>
      </c>
      <c r="C221" s="9" t="s">
        <v>6</v>
      </c>
      <c r="D221" s="9" t="s">
        <v>7</v>
      </c>
      <c r="E221" s="159"/>
      <c r="F221" s="159">
        <f>6.6</f>
        <v>6.6</v>
      </c>
      <c r="G221" s="160">
        <f>E220*F221</f>
        <v>657.954</v>
      </c>
    </row>
    <row r="222" spans="1:7" ht="15">
      <c r="A222" s="8" t="s">
        <v>0</v>
      </c>
      <c r="B222" s="9" t="s">
        <v>0</v>
      </c>
      <c r="C222" s="9" t="s">
        <v>8</v>
      </c>
      <c r="D222" s="9" t="s">
        <v>9</v>
      </c>
      <c r="E222" s="159"/>
      <c r="F222" s="159">
        <f>0.02975</f>
        <v>0.02975</v>
      </c>
      <c r="G222" s="160">
        <f>E220*F222</f>
        <v>2.9657774999999997</v>
      </c>
    </row>
    <row r="223" spans="1:7" ht="15">
      <c r="A223" s="8" t="s">
        <v>0</v>
      </c>
      <c r="B223" s="9" t="s">
        <v>0</v>
      </c>
      <c r="C223" s="9" t="s">
        <v>10</v>
      </c>
      <c r="D223" s="9" t="s">
        <v>9</v>
      </c>
      <c r="E223" s="159"/>
      <c r="F223" s="159">
        <f>0.006875</f>
        <v>0.006875</v>
      </c>
      <c r="G223" s="160">
        <f>E220*F223</f>
        <v>0.68536875</v>
      </c>
    </row>
    <row r="224" spans="1:7" ht="15">
      <c r="A224" s="8" t="s">
        <v>0</v>
      </c>
      <c r="B224" s="9" t="s">
        <v>0</v>
      </c>
      <c r="C224" s="9" t="s">
        <v>11</v>
      </c>
      <c r="D224" s="9" t="s">
        <v>12</v>
      </c>
      <c r="E224" s="159"/>
      <c r="F224" s="159">
        <f>0.068</f>
        <v>0.068</v>
      </c>
      <c r="G224" s="160">
        <f>E220*F224</f>
        <v>6.77892</v>
      </c>
    </row>
    <row r="225" spans="1:7" ht="15">
      <c r="A225" s="8" t="s">
        <v>0</v>
      </c>
      <c r="B225" s="9" t="s">
        <v>0</v>
      </c>
      <c r="C225" s="9" t="s">
        <v>13</v>
      </c>
      <c r="D225" s="9" t="s">
        <v>14</v>
      </c>
      <c r="E225" s="159"/>
      <c r="F225" s="159">
        <f>0.004</f>
        <v>0.004</v>
      </c>
      <c r="G225" s="160">
        <f>E220*F225</f>
        <v>0.39876</v>
      </c>
    </row>
    <row r="226" spans="1:7" ht="15">
      <c r="A226" s="8" t="s">
        <v>0</v>
      </c>
      <c r="B226" s="9" t="s">
        <v>0</v>
      </c>
      <c r="C226" s="9" t="s">
        <v>0</v>
      </c>
      <c r="D226" s="9" t="s">
        <v>0</v>
      </c>
      <c r="E226" s="159"/>
      <c r="F226" s="159"/>
      <c r="G226" s="160"/>
    </row>
    <row r="227" spans="1:7" ht="15">
      <c r="A227" s="8" t="s">
        <v>145</v>
      </c>
      <c r="B227" s="9" t="s">
        <v>119</v>
      </c>
      <c r="C227" s="9" t="s">
        <v>120</v>
      </c>
      <c r="D227" s="9" t="s">
        <v>5</v>
      </c>
      <c r="E227" s="159">
        <f>'Du toan chi tiet'!E101</f>
        <v>99.69</v>
      </c>
      <c r="F227" s="159"/>
      <c r="G227" s="160"/>
    </row>
    <row r="228" spans="1:7" ht="15">
      <c r="A228" s="8" t="s">
        <v>0</v>
      </c>
      <c r="B228" s="9" t="s">
        <v>0</v>
      </c>
      <c r="C228" s="9" t="s">
        <v>121</v>
      </c>
      <c r="D228" s="9" t="s">
        <v>19</v>
      </c>
      <c r="E228" s="159"/>
      <c r="F228" s="159">
        <f>1.01</f>
        <v>1.01</v>
      </c>
      <c r="G228" s="160">
        <f>E227*F228</f>
        <v>100.6869</v>
      </c>
    </row>
    <row r="229" spans="1:7" ht="15">
      <c r="A229" s="8" t="s">
        <v>0</v>
      </c>
      <c r="B229" s="9" t="s">
        <v>0</v>
      </c>
      <c r="C229" s="9" t="s">
        <v>6</v>
      </c>
      <c r="D229" s="9" t="s">
        <v>7</v>
      </c>
      <c r="E229" s="159"/>
      <c r="F229" s="159">
        <f>6.6</f>
        <v>6.6</v>
      </c>
      <c r="G229" s="160">
        <f>E227*F229</f>
        <v>657.954</v>
      </c>
    </row>
    <row r="230" spans="1:7" ht="15">
      <c r="A230" s="8" t="s">
        <v>0</v>
      </c>
      <c r="B230" s="9" t="s">
        <v>0</v>
      </c>
      <c r="C230" s="9" t="s">
        <v>8</v>
      </c>
      <c r="D230" s="9" t="s">
        <v>9</v>
      </c>
      <c r="E230" s="159"/>
      <c r="F230" s="159">
        <f>0.02975</f>
        <v>0.02975</v>
      </c>
      <c r="G230" s="160">
        <f>E227*F230</f>
        <v>2.9657774999999997</v>
      </c>
    </row>
    <row r="231" spans="1:7" ht="15">
      <c r="A231" s="8" t="s">
        <v>0</v>
      </c>
      <c r="B231" s="9" t="s">
        <v>0</v>
      </c>
      <c r="C231" s="9" t="s">
        <v>10</v>
      </c>
      <c r="D231" s="9" t="s">
        <v>9</v>
      </c>
      <c r="E231" s="159"/>
      <c r="F231" s="159">
        <f>0.006875</f>
        <v>0.006875</v>
      </c>
      <c r="G231" s="160">
        <f>E227*F231</f>
        <v>0.68536875</v>
      </c>
    </row>
    <row r="232" spans="1:7" ht="15">
      <c r="A232" s="8" t="s">
        <v>0</v>
      </c>
      <c r="B232" s="9" t="s">
        <v>0</v>
      </c>
      <c r="C232" s="9" t="s">
        <v>122</v>
      </c>
      <c r="D232" s="9" t="s">
        <v>7</v>
      </c>
      <c r="E232" s="159"/>
      <c r="F232" s="159">
        <f>0.65</f>
        <v>0.65</v>
      </c>
      <c r="G232" s="160">
        <f>E227*F232</f>
        <v>64.7985</v>
      </c>
    </row>
    <row r="233" spans="1:7" ht="15">
      <c r="A233" s="8" t="s">
        <v>0</v>
      </c>
      <c r="B233" s="9" t="s">
        <v>0</v>
      </c>
      <c r="C233" s="9" t="s">
        <v>123</v>
      </c>
      <c r="D233" s="9" t="s">
        <v>7</v>
      </c>
      <c r="E233" s="159"/>
      <c r="F233" s="159">
        <f>0.1</f>
        <v>0.1</v>
      </c>
      <c r="G233" s="160">
        <f>E227*F233</f>
        <v>9.969000000000001</v>
      </c>
    </row>
    <row r="234" spans="1:7" ht="15">
      <c r="A234" s="8" t="s">
        <v>0</v>
      </c>
      <c r="B234" s="9" t="s">
        <v>0</v>
      </c>
      <c r="C234" s="9" t="s">
        <v>11</v>
      </c>
      <c r="D234" s="9" t="s">
        <v>12</v>
      </c>
      <c r="E234" s="159"/>
      <c r="F234" s="159">
        <f>0.14</f>
        <v>0.14</v>
      </c>
      <c r="G234" s="160">
        <f>E227*F234</f>
        <v>13.956600000000002</v>
      </c>
    </row>
    <row r="235" spans="1:7" ht="15">
      <c r="A235" s="8" t="s">
        <v>0</v>
      </c>
      <c r="B235" s="9" t="s">
        <v>0</v>
      </c>
      <c r="C235" s="9" t="s">
        <v>124</v>
      </c>
      <c r="D235" s="9" t="s">
        <v>14</v>
      </c>
      <c r="E235" s="159"/>
      <c r="F235" s="159">
        <f>0.04</f>
        <v>0.04</v>
      </c>
      <c r="G235" s="160">
        <f>E227*F235</f>
        <v>3.9876</v>
      </c>
    </row>
    <row r="236" spans="1:7" ht="15">
      <c r="A236" s="8" t="s">
        <v>0</v>
      </c>
      <c r="B236" s="9" t="s">
        <v>0</v>
      </c>
      <c r="C236" s="9" t="s">
        <v>0</v>
      </c>
      <c r="D236" s="9" t="s">
        <v>0</v>
      </c>
      <c r="E236" s="159"/>
      <c r="F236" s="159"/>
      <c r="G236" s="160"/>
    </row>
    <row r="237" spans="1:7" ht="15">
      <c r="A237" s="8" t="s">
        <v>146</v>
      </c>
      <c r="B237" s="9" t="s">
        <v>126</v>
      </c>
      <c r="C237" s="9" t="s">
        <v>127</v>
      </c>
      <c r="D237" s="9" t="s">
        <v>5</v>
      </c>
      <c r="E237" s="159">
        <f>'Du toan chi tiet'!E103</f>
        <v>68.44</v>
      </c>
      <c r="F237" s="159"/>
      <c r="G237" s="160"/>
    </row>
    <row r="238" spans="1:7" ht="15">
      <c r="A238" s="8" t="s">
        <v>0</v>
      </c>
      <c r="B238" s="9" t="s">
        <v>0</v>
      </c>
      <c r="C238" s="9" t="s">
        <v>128</v>
      </c>
      <c r="D238" s="9" t="s">
        <v>19</v>
      </c>
      <c r="E238" s="159"/>
      <c r="F238" s="159">
        <f>1.05</f>
        <v>1.05</v>
      </c>
      <c r="G238" s="160">
        <f>E237*F238</f>
        <v>71.862</v>
      </c>
    </row>
    <row r="239" spans="1:7" ht="15">
      <c r="A239" s="8" t="s">
        <v>0</v>
      </c>
      <c r="B239" s="9" t="s">
        <v>0</v>
      </c>
      <c r="C239" s="9" t="s">
        <v>0</v>
      </c>
      <c r="D239" s="9" t="s">
        <v>0</v>
      </c>
      <c r="E239" s="159"/>
      <c r="F239" s="159"/>
      <c r="G239" s="160"/>
    </row>
    <row r="240" spans="1:7" ht="15">
      <c r="A240" s="8" t="s">
        <v>147</v>
      </c>
      <c r="B240" s="9" t="s">
        <v>148</v>
      </c>
      <c r="C240" s="9" t="s">
        <v>149</v>
      </c>
      <c r="D240" s="9" t="s">
        <v>19</v>
      </c>
      <c r="E240" s="159">
        <f>'Du toan chi tiet'!E105</f>
        <v>41.76</v>
      </c>
      <c r="F240" s="159"/>
      <c r="G240" s="160"/>
    </row>
    <row r="241" spans="1:7" ht="15">
      <c r="A241" s="8" t="s">
        <v>0</v>
      </c>
      <c r="B241" s="9" t="s">
        <v>0</v>
      </c>
      <c r="C241" s="9" t="s">
        <v>25</v>
      </c>
      <c r="D241" s="9" t="s">
        <v>12</v>
      </c>
      <c r="E241" s="159"/>
      <c r="F241" s="159">
        <f>0.1</f>
        <v>0.1</v>
      </c>
      <c r="G241" s="160">
        <f>E240*F241</f>
        <v>4.176</v>
      </c>
    </row>
    <row r="242" spans="1:7" ht="15">
      <c r="A242" s="8" t="s">
        <v>0</v>
      </c>
      <c r="B242" s="9" t="s">
        <v>0</v>
      </c>
      <c r="C242" s="9" t="s">
        <v>0</v>
      </c>
      <c r="D242" s="9" t="s">
        <v>0</v>
      </c>
      <c r="E242" s="159"/>
      <c r="F242" s="159"/>
      <c r="G242" s="160"/>
    </row>
    <row r="243" spans="1:7" ht="15">
      <c r="A243" s="8" t="s">
        <v>150</v>
      </c>
      <c r="B243" s="9" t="s">
        <v>151</v>
      </c>
      <c r="C243" s="9" t="s">
        <v>152</v>
      </c>
      <c r="D243" s="9" t="s">
        <v>5</v>
      </c>
      <c r="E243" s="159">
        <f>'Du toan chi tiet'!E107</f>
        <v>41.76</v>
      </c>
      <c r="F243" s="159"/>
      <c r="G243" s="160"/>
    </row>
    <row r="244" spans="1:7" ht="15">
      <c r="A244" s="8" t="s">
        <v>0</v>
      </c>
      <c r="B244" s="9" t="s">
        <v>0</v>
      </c>
      <c r="C244" s="9" t="s">
        <v>153</v>
      </c>
      <c r="D244" s="9" t="s">
        <v>7</v>
      </c>
      <c r="E244" s="159"/>
      <c r="F244" s="159">
        <f>0.115</f>
        <v>0.115</v>
      </c>
      <c r="G244" s="160">
        <f>E243*F244</f>
        <v>4.8024</v>
      </c>
    </row>
    <row r="245" spans="1:7" ht="15">
      <c r="A245" s="8" t="s">
        <v>0</v>
      </c>
      <c r="B245" s="9" t="s">
        <v>0</v>
      </c>
      <c r="C245" s="9" t="s">
        <v>154</v>
      </c>
      <c r="D245" s="9" t="s">
        <v>7</v>
      </c>
      <c r="E245" s="159"/>
      <c r="F245" s="159">
        <f>0.214</f>
        <v>0.214</v>
      </c>
      <c r="G245" s="160">
        <f>E243*F245</f>
        <v>8.936639999999999</v>
      </c>
    </row>
    <row r="246" spans="1:7" ht="15">
      <c r="A246" s="8" t="s">
        <v>0</v>
      </c>
      <c r="B246" s="9" t="s">
        <v>0</v>
      </c>
      <c r="C246" s="9" t="s">
        <v>38</v>
      </c>
      <c r="D246" s="9" t="s">
        <v>12</v>
      </c>
      <c r="E246" s="159"/>
      <c r="F246" s="159">
        <f>0.108</f>
        <v>0.108</v>
      </c>
      <c r="G246" s="160">
        <f>E243*F246</f>
        <v>4.510079999999999</v>
      </c>
    </row>
    <row r="247" spans="1:7" ht="15">
      <c r="A247" s="8" t="s">
        <v>0</v>
      </c>
      <c r="B247" s="9" t="s">
        <v>0</v>
      </c>
      <c r="C247" s="9" t="s">
        <v>0</v>
      </c>
      <c r="D247" s="9" t="s">
        <v>0</v>
      </c>
      <c r="E247" s="159"/>
      <c r="F247" s="159"/>
      <c r="G247" s="160"/>
    </row>
    <row r="248" spans="1:7" ht="15">
      <c r="A248" s="8" t="s">
        <v>0</v>
      </c>
      <c r="B248" s="9" t="s">
        <v>0</v>
      </c>
      <c r="C248" s="9" t="s">
        <v>0</v>
      </c>
      <c r="D248" s="9" t="s">
        <v>0</v>
      </c>
      <c r="E248" s="159"/>
      <c r="F248" s="159"/>
      <c r="G248" s="160"/>
    </row>
    <row r="249" spans="1:7" ht="15.75">
      <c r="A249" s="26" t="s">
        <v>0</v>
      </c>
      <c r="B249" s="27" t="s">
        <v>0</v>
      </c>
      <c r="C249" s="27" t="s">
        <v>155</v>
      </c>
      <c r="D249" s="27" t="s">
        <v>0</v>
      </c>
      <c r="E249" s="157"/>
      <c r="F249" s="157"/>
      <c r="G249" s="158"/>
    </row>
    <row r="250" spans="1:7" ht="15">
      <c r="A250" s="8" t="s">
        <v>0</v>
      </c>
      <c r="B250" s="9" t="s">
        <v>0</v>
      </c>
      <c r="C250" s="9" t="s">
        <v>0</v>
      </c>
      <c r="D250" s="9" t="s">
        <v>0</v>
      </c>
      <c r="E250" s="159"/>
      <c r="F250" s="159"/>
      <c r="G250" s="160"/>
    </row>
    <row r="251" spans="1:7" ht="15">
      <c r="A251" s="8" t="s">
        <v>156</v>
      </c>
      <c r="B251" s="9" t="s">
        <v>157</v>
      </c>
      <c r="C251" s="9" t="s">
        <v>158</v>
      </c>
      <c r="D251" s="9" t="s">
        <v>5</v>
      </c>
      <c r="E251" s="159">
        <f>'Du toan chi tiet'!E113</f>
        <v>11.48</v>
      </c>
      <c r="F251" s="159"/>
      <c r="G251" s="160"/>
    </row>
    <row r="252" spans="1:7" ht="15">
      <c r="A252" s="8" t="s">
        <v>0</v>
      </c>
      <c r="B252" s="9" t="s">
        <v>0</v>
      </c>
      <c r="C252" s="9" t="s">
        <v>78</v>
      </c>
      <c r="D252" s="9" t="s">
        <v>12</v>
      </c>
      <c r="E252" s="159"/>
      <c r="F252" s="159">
        <f>0.04</f>
        <v>0.04</v>
      </c>
      <c r="G252" s="160">
        <f>E251*F252</f>
        <v>0.45920000000000005</v>
      </c>
    </row>
    <row r="253" spans="1:7" ht="15">
      <c r="A253" s="8" t="s">
        <v>0</v>
      </c>
      <c r="B253" s="9" t="s">
        <v>0</v>
      </c>
      <c r="C253" s="9" t="s">
        <v>0</v>
      </c>
      <c r="D253" s="9" t="s">
        <v>0</v>
      </c>
      <c r="E253" s="159"/>
      <c r="F253" s="159"/>
      <c r="G253" s="160"/>
    </row>
    <row r="254" spans="1:7" ht="15">
      <c r="A254" s="8" t="s">
        <v>159</v>
      </c>
      <c r="B254" s="9" t="s">
        <v>160</v>
      </c>
      <c r="C254" s="9" t="s">
        <v>161</v>
      </c>
      <c r="D254" s="9" t="s">
        <v>162</v>
      </c>
      <c r="E254" s="159">
        <f>'Du toan chi tiet'!E115</f>
        <v>1</v>
      </c>
      <c r="F254" s="159"/>
      <c r="G254" s="160"/>
    </row>
    <row r="255" spans="1:7" ht="15">
      <c r="A255" s="8" t="s">
        <v>0</v>
      </c>
      <c r="B255" s="9" t="s">
        <v>0</v>
      </c>
      <c r="C255" s="9" t="s">
        <v>78</v>
      </c>
      <c r="D255" s="9" t="s">
        <v>12</v>
      </c>
      <c r="E255" s="159"/>
      <c r="F255" s="159">
        <f>0.15</f>
        <v>0.15</v>
      </c>
      <c r="G255" s="160">
        <f>E254*F255</f>
        <v>0.15</v>
      </c>
    </row>
    <row r="256" spans="1:7" ht="15">
      <c r="A256" s="8" t="s">
        <v>0</v>
      </c>
      <c r="B256" s="9" t="s">
        <v>0</v>
      </c>
      <c r="C256" s="9" t="s">
        <v>0</v>
      </c>
      <c r="D256" s="9" t="s">
        <v>0</v>
      </c>
      <c r="E256" s="159"/>
      <c r="F256" s="159"/>
      <c r="G256" s="160"/>
    </row>
    <row r="257" spans="1:7" ht="15">
      <c r="A257" s="8" t="s">
        <v>163</v>
      </c>
      <c r="B257" s="9" t="s">
        <v>164</v>
      </c>
      <c r="C257" s="9" t="s">
        <v>165</v>
      </c>
      <c r="D257" s="9" t="s">
        <v>5</v>
      </c>
      <c r="E257" s="159">
        <f>'Du toan chi tiet'!E117</f>
        <v>3.84</v>
      </c>
      <c r="F257" s="159"/>
      <c r="G257" s="160"/>
    </row>
    <row r="258" spans="1:7" ht="15">
      <c r="A258" s="8" t="s">
        <v>0</v>
      </c>
      <c r="B258" s="9" t="s">
        <v>0</v>
      </c>
      <c r="C258" s="9" t="s">
        <v>6</v>
      </c>
      <c r="D258" s="9" t="s">
        <v>7</v>
      </c>
      <c r="E258" s="159"/>
      <c r="F258" s="159">
        <f>3.913</f>
        <v>3.913</v>
      </c>
      <c r="G258" s="160">
        <f>E257*F258</f>
        <v>15.02592</v>
      </c>
    </row>
    <row r="259" spans="1:7" ht="15">
      <c r="A259" s="8" t="s">
        <v>0</v>
      </c>
      <c r="B259" s="9" t="s">
        <v>0</v>
      </c>
      <c r="C259" s="9" t="s">
        <v>95</v>
      </c>
      <c r="D259" s="9" t="s">
        <v>9</v>
      </c>
      <c r="E259" s="159"/>
      <c r="F259" s="159">
        <f>0.015067</f>
        <v>0.015067</v>
      </c>
      <c r="G259" s="160">
        <f>E257*F259</f>
        <v>0.05785728</v>
      </c>
    </row>
    <row r="260" spans="1:7" ht="15">
      <c r="A260" s="8" t="s">
        <v>0</v>
      </c>
      <c r="B260" s="9" t="s">
        <v>0</v>
      </c>
      <c r="C260" s="9" t="s">
        <v>10</v>
      </c>
      <c r="D260" s="9" t="s">
        <v>9</v>
      </c>
      <c r="E260" s="159"/>
      <c r="F260" s="159">
        <f>0.003614</f>
        <v>0.003614</v>
      </c>
      <c r="G260" s="160">
        <f>E257*F260</f>
        <v>0.01387776</v>
      </c>
    </row>
    <row r="261" spans="1:7" ht="15">
      <c r="A261" s="8" t="s">
        <v>0</v>
      </c>
      <c r="B261" s="9" t="s">
        <v>0</v>
      </c>
      <c r="C261" s="9" t="s">
        <v>11</v>
      </c>
      <c r="D261" s="9" t="s">
        <v>12</v>
      </c>
      <c r="E261" s="159"/>
      <c r="F261" s="159">
        <f>0.5</f>
        <v>0.5</v>
      </c>
      <c r="G261" s="160">
        <f>E257*F261</f>
        <v>1.92</v>
      </c>
    </row>
    <row r="262" spans="1:7" ht="15">
      <c r="A262" s="8" t="s">
        <v>0</v>
      </c>
      <c r="B262" s="9" t="s">
        <v>0</v>
      </c>
      <c r="C262" s="9" t="s">
        <v>13</v>
      </c>
      <c r="D262" s="9" t="s">
        <v>14</v>
      </c>
      <c r="E262" s="159"/>
      <c r="F262" s="159">
        <f>0.002</f>
        <v>0.002</v>
      </c>
      <c r="G262" s="160">
        <f>E257*F262</f>
        <v>0.00768</v>
      </c>
    </row>
    <row r="263" spans="1:7" ht="15">
      <c r="A263" s="8" t="s">
        <v>0</v>
      </c>
      <c r="B263" s="9" t="s">
        <v>0</v>
      </c>
      <c r="C263" s="9" t="s">
        <v>0</v>
      </c>
      <c r="D263" s="9" t="s">
        <v>0</v>
      </c>
      <c r="E263" s="159"/>
      <c r="F263" s="159"/>
      <c r="G263" s="160"/>
    </row>
    <row r="264" spans="1:7" ht="15">
      <c r="A264" s="8" t="s">
        <v>166</v>
      </c>
      <c r="B264" s="9" t="s">
        <v>103</v>
      </c>
      <c r="C264" s="9" t="s">
        <v>104</v>
      </c>
      <c r="D264" s="9" t="s">
        <v>5</v>
      </c>
      <c r="E264" s="159">
        <f>'Du toan chi tiet'!E119</f>
        <v>3.84</v>
      </c>
      <c r="F264" s="159"/>
      <c r="G264" s="160"/>
    </row>
    <row r="265" spans="1:7" ht="15">
      <c r="A265" s="8" t="s">
        <v>0</v>
      </c>
      <c r="B265" s="9" t="s">
        <v>0</v>
      </c>
      <c r="C265" s="9" t="s">
        <v>105</v>
      </c>
      <c r="D265" s="9" t="s">
        <v>0</v>
      </c>
      <c r="E265" s="159"/>
      <c r="F265" s="159"/>
      <c r="G265" s="160"/>
    </row>
    <row r="266" spans="1:7" ht="15">
      <c r="A266" s="8" t="s">
        <v>0</v>
      </c>
      <c r="B266" s="9" t="s">
        <v>0</v>
      </c>
      <c r="C266" s="9" t="s">
        <v>106</v>
      </c>
      <c r="D266" s="9" t="s">
        <v>65</v>
      </c>
      <c r="E266" s="159"/>
      <c r="F266" s="159">
        <f>0.158</f>
        <v>0.158</v>
      </c>
      <c r="G266" s="160">
        <f>E264*F266</f>
        <v>0.60672</v>
      </c>
    </row>
    <row r="267" spans="1:7" ht="15">
      <c r="A267" s="8" t="s">
        <v>0</v>
      </c>
      <c r="B267" s="9" t="s">
        <v>0</v>
      </c>
      <c r="C267" s="9" t="s">
        <v>107</v>
      </c>
      <c r="D267" s="9" t="s">
        <v>65</v>
      </c>
      <c r="E267" s="159"/>
      <c r="F267" s="159">
        <f>0.252</f>
        <v>0.252</v>
      </c>
      <c r="G267" s="160">
        <f>E264*F267</f>
        <v>0.96768</v>
      </c>
    </row>
    <row r="268" spans="1:7" ht="15">
      <c r="A268" s="8" t="s">
        <v>0</v>
      </c>
      <c r="B268" s="9" t="s">
        <v>0</v>
      </c>
      <c r="C268" s="9" t="s">
        <v>38</v>
      </c>
      <c r="D268" s="9" t="s">
        <v>12</v>
      </c>
      <c r="E268" s="159"/>
      <c r="F268" s="159">
        <f>0.076</f>
        <v>0.076</v>
      </c>
      <c r="G268" s="160">
        <f>E264*F268</f>
        <v>0.29184</v>
      </c>
    </row>
    <row r="269" spans="1:7" ht="15">
      <c r="A269" s="8" t="s">
        <v>0</v>
      </c>
      <c r="B269" s="9" t="s">
        <v>0</v>
      </c>
      <c r="C269" s="9" t="s">
        <v>0</v>
      </c>
      <c r="D269" s="9" t="s">
        <v>0</v>
      </c>
      <c r="E269" s="159"/>
      <c r="F269" s="159"/>
      <c r="G269" s="160"/>
    </row>
    <row r="270" spans="1:7" ht="15">
      <c r="A270" s="8" t="s">
        <v>167</v>
      </c>
      <c r="B270" s="9" t="s">
        <v>168</v>
      </c>
      <c r="C270" s="9" t="s">
        <v>169</v>
      </c>
      <c r="D270" s="9" t="s">
        <v>19</v>
      </c>
      <c r="E270" s="159">
        <f>'Du toan chi tiet'!E121</f>
        <v>11.48</v>
      </c>
      <c r="F270" s="159"/>
      <c r="G270" s="160"/>
    </row>
    <row r="271" spans="1:7" ht="15">
      <c r="A271" s="8" t="s">
        <v>0</v>
      </c>
      <c r="B271" s="9" t="s">
        <v>0</v>
      </c>
      <c r="C271" s="9" t="s">
        <v>170</v>
      </c>
      <c r="D271" s="9" t="s">
        <v>0</v>
      </c>
      <c r="E271" s="159"/>
      <c r="F271" s="159"/>
      <c r="G271" s="160"/>
    </row>
    <row r="272" spans="1:7" ht="15">
      <c r="A272" s="8" t="s">
        <v>0</v>
      </c>
      <c r="B272" s="9" t="s">
        <v>0</v>
      </c>
      <c r="C272" s="9" t="s">
        <v>171</v>
      </c>
      <c r="D272" s="9" t="s">
        <v>19</v>
      </c>
      <c r="E272" s="159"/>
      <c r="F272" s="159">
        <f>1</f>
        <v>1</v>
      </c>
      <c r="G272" s="160">
        <f>E270*F272</f>
        <v>11.48</v>
      </c>
    </row>
    <row r="273" spans="1:7" ht="15">
      <c r="A273" s="8" t="s">
        <v>0</v>
      </c>
      <c r="B273" s="9" t="s">
        <v>0</v>
      </c>
      <c r="C273" s="9" t="s">
        <v>0</v>
      </c>
      <c r="D273" s="9" t="s">
        <v>0</v>
      </c>
      <c r="E273" s="159"/>
      <c r="F273" s="159"/>
      <c r="G273" s="160"/>
    </row>
    <row r="274" spans="1:7" ht="15">
      <c r="A274" s="8" t="s">
        <v>172</v>
      </c>
      <c r="B274" s="9" t="s">
        <v>173</v>
      </c>
      <c r="C274" s="9" t="s">
        <v>174</v>
      </c>
      <c r="D274" s="9" t="s">
        <v>175</v>
      </c>
      <c r="E274" s="159">
        <f>'Du toan chi tiet'!E123</f>
        <v>8</v>
      </c>
      <c r="F274" s="159"/>
      <c r="G274" s="160"/>
    </row>
    <row r="275" spans="1:7" ht="15">
      <c r="A275" s="8" t="s">
        <v>0</v>
      </c>
      <c r="B275" s="9" t="s">
        <v>0</v>
      </c>
      <c r="C275" s="9" t="s">
        <v>176</v>
      </c>
      <c r="D275" s="9" t="s">
        <v>175</v>
      </c>
      <c r="E275" s="159"/>
      <c r="F275" s="159">
        <f>1</f>
        <v>1</v>
      </c>
      <c r="G275" s="160">
        <f>E274*F275</f>
        <v>8</v>
      </c>
    </row>
    <row r="276" spans="1:7" ht="15">
      <c r="A276" s="8" t="s">
        <v>177</v>
      </c>
      <c r="B276" s="9" t="s">
        <v>178</v>
      </c>
      <c r="C276" s="9" t="s">
        <v>179</v>
      </c>
      <c r="D276" s="9" t="s">
        <v>180</v>
      </c>
      <c r="E276" s="159">
        <f>'Du toan chi tiet'!E125</f>
        <v>1</v>
      </c>
      <c r="F276" s="159"/>
      <c r="G276" s="160"/>
    </row>
    <row r="277" spans="1:7" ht="15">
      <c r="A277" s="8" t="s">
        <v>0</v>
      </c>
      <c r="B277" s="9" t="s">
        <v>0</v>
      </c>
      <c r="C277" s="9" t="s">
        <v>181</v>
      </c>
      <c r="D277" s="9" t="s">
        <v>175</v>
      </c>
      <c r="E277" s="159"/>
      <c r="F277" s="159">
        <f>1</f>
        <v>1</v>
      </c>
      <c r="G277" s="160">
        <f>E276*F277</f>
        <v>1</v>
      </c>
    </row>
    <row r="278" spans="1:7" ht="15">
      <c r="A278" s="8" t="s">
        <v>0</v>
      </c>
      <c r="B278" s="9" t="s">
        <v>0</v>
      </c>
      <c r="C278" s="9" t="s">
        <v>38</v>
      </c>
      <c r="D278" s="9" t="s">
        <v>12</v>
      </c>
      <c r="E278" s="159"/>
      <c r="F278" s="159">
        <f>1.5</f>
        <v>1.5</v>
      </c>
      <c r="G278" s="160">
        <f>E276*F278</f>
        <v>1.5</v>
      </c>
    </row>
    <row r="279" spans="1:7" ht="15">
      <c r="A279" s="8" t="s">
        <v>0</v>
      </c>
      <c r="B279" s="9" t="s">
        <v>0</v>
      </c>
      <c r="C279" s="9" t="s">
        <v>0</v>
      </c>
      <c r="D279" s="9" t="s">
        <v>0</v>
      </c>
      <c r="E279" s="159"/>
      <c r="F279" s="159"/>
      <c r="G279" s="160"/>
    </row>
    <row r="280" spans="1:7" ht="15">
      <c r="A280" s="8" t="s">
        <v>0</v>
      </c>
      <c r="B280" s="9" t="s">
        <v>0</v>
      </c>
      <c r="C280" s="9" t="s">
        <v>0</v>
      </c>
      <c r="D280" s="9" t="s">
        <v>0</v>
      </c>
      <c r="E280" s="159"/>
      <c r="F280" s="159"/>
      <c r="G280" s="160"/>
    </row>
    <row r="281" spans="1:7" ht="15.75">
      <c r="A281" s="26" t="s">
        <v>0</v>
      </c>
      <c r="B281" s="27" t="s">
        <v>0</v>
      </c>
      <c r="C281" s="27" t="s">
        <v>182</v>
      </c>
      <c r="D281" s="27" t="s">
        <v>0</v>
      </c>
      <c r="E281" s="157"/>
      <c r="F281" s="157"/>
      <c r="G281" s="158"/>
    </row>
    <row r="282" spans="1:7" ht="15">
      <c r="A282" s="8" t="s">
        <v>0</v>
      </c>
      <c r="B282" s="9" t="s">
        <v>0</v>
      </c>
      <c r="C282" s="9" t="s">
        <v>0</v>
      </c>
      <c r="D282" s="9" t="s">
        <v>0</v>
      </c>
      <c r="E282" s="159"/>
      <c r="F282" s="159"/>
      <c r="G282" s="160"/>
    </row>
    <row r="283" spans="1:7" ht="15">
      <c r="A283" s="8" t="s">
        <v>183</v>
      </c>
      <c r="B283" s="9" t="s">
        <v>184</v>
      </c>
      <c r="C283" s="9" t="s">
        <v>185</v>
      </c>
      <c r="D283" s="9" t="s">
        <v>24</v>
      </c>
      <c r="E283" s="159">
        <f>'Du toan chi tiet'!E131</f>
        <v>8</v>
      </c>
      <c r="F283" s="159"/>
      <c r="G283" s="160"/>
    </row>
    <row r="284" spans="1:7" ht="15">
      <c r="A284" s="8" t="s">
        <v>0</v>
      </c>
      <c r="B284" s="9" t="s">
        <v>0</v>
      </c>
      <c r="C284" s="9" t="s">
        <v>186</v>
      </c>
      <c r="D284" s="9" t="s">
        <v>0</v>
      </c>
      <c r="E284" s="159"/>
      <c r="F284" s="159"/>
      <c r="G284" s="160"/>
    </row>
    <row r="285" spans="1:7" ht="15">
      <c r="A285" s="8" t="s">
        <v>0</v>
      </c>
      <c r="B285" s="9" t="s">
        <v>0</v>
      </c>
      <c r="C285" s="9" t="s">
        <v>25</v>
      </c>
      <c r="D285" s="9" t="s">
        <v>12</v>
      </c>
      <c r="E285" s="159"/>
      <c r="F285" s="159">
        <f>0.0461</f>
        <v>0.0461</v>
      </c>
      <c r="G285" s="160">
        <f>E283*F285</f>
        <v>0.3688</v>
      </c>
    </row>
    <row r="286" spans="1:7" ht="15">
      <c r="A286" s="8" t="s">
        <v>0</v>
      </c>
      <c r="B286" s="9" t="s">
        <v>0</v>
      </c>
      <c r="C286" s="9" t="s">
        <v>187</v>
      </c>
      <c r="D286" s="9" t="s">
        <v>14</v>
      </c>
      <c r="E286" s="159"/>
      <c r="F286" s="159">
        <f>0.00897</f>
        <v>0.00897</v>
      </c>
      <c r="G286" s="160">
        <f>E283*F286</f>
        <v>0.07176</v>
      </c>
    </row>
    <row r="287" spans="1:7" ht="15">
      <c r="A287" s="8" t="s">
        <v>0</v>
      </c>
      <c r="B287" s="9" t="s">
        <v>0</v>
      </c>
      <c r="C287" s="9" t="s">
        <v>0</v>
      </c>
      <c r="D287" s="9" t="s">
        <v>0</v>
      </c>
      <c r="E287" s="159"/>
      <c r="F287" s="159"/>
      <c r="G287" s="160"/>
    </row>
    <row r="288" spans="1:7" ht="15">
      <c r="A288" s="8" t="s">
        <v>188</v>
      </c>
      <c r="B288" s="9" t="s">
        <v>189</v>
      </c>
      <c r="C288" s="9" t="s">
        <v>190</v>
      </c>
      <c r="D288" s="9" t="s">
        <v>24</v>
      </c>
      <c r="E288" s="159">
        <f>'Du toan chi tiet'!E133</f>
        <v>0.1</v>
      </c>
      <c r="F288" s="159"/>
      <c r="G288" s="160"/>
    </row>
    <row r="289" spans="1:7" ht="15">
      <c r="A289" s="8" t="s">
        <v>0</v>
      </c>
      <c r="B289" s="9" t="s">
        <v>0</v>
      </c>
      <c r="C289" s="9" t="s">
        <v>25</v>
      </c>
      <c r="D289" s="9" t="s">
        <v>12</v>
      </c>
      <c r="E289" s="159"/>
      <c r="F289" s="159">
        <f>1.24</f>
        <v>1.24</v>
      </c>
      <c r="G289" s="160">
        <f>E288*F289</f>
        <v>0.124</v>
      </c>
    </row>
    <row r="290" spans="1:7" ht="15">
      <c r="A290" s="8" t="s">
        <v>0</v>
      </c>
      <c r="B290" s="9" t="s">
        <v>0</v>
      </c>
      <c r="C290" s="9" t="s">
        <v>0</v>
      </c>
      <c r="D290" s="9" t="s">
        <v>0</v>
      </c>
      <c r="E290" s="159"/>
      <c r="F290" s="159"/>
      <c r="G290" s="160"/>
    </row>
    <row r="291" spans="1:7" ht="15">
      <c r="A291" s="8" t="s">
        <v>191</v>
      </c>
      <c r="B291" s="9" t="s">
        <v>27</v>
      </c>
      <c r="C291" s="9" t="s">
        <v>28</v>
      </c>
      <c r="D291" s="9" t="s">
        <v>24</v>
      </c>
      <c r="E291" s="159">
        <f>'Du toan chi tiet'!E135</f>
        <v>0.7</v>
      </c>
      <c r="F291" s="159"/>
      <c r="G291" s="160"/>
    </row>
    <row r="292" spans="1:7" ht="15">
      <c r="A292" s="8" t="s">
        <v>0</v>
      </c>
      <c r="B292" s="9" t="s">
        <v>0</v>
      </c>
      <c r="C292" s="9" t="s">
        <v>29</v>
      </c>
      <c r="D292" s="9" t="s">
        <v>0</v>
      </c>
      <c r="E292" s="159"/>
      <c r="F292" s="159"/>
      <c r="G292" s="160"/>
    </row>
    <row r="293" spans="1:7" ht="15">
      <c r="A293" s="8" t="s">
        <v>0</v>
      </c>
      <c r="B293" s="9" t="s">
        <v>0</v>
      </c>
      <c r="C293" s="9" t="s">
        <v>25</v>
      </c>
      <c r="D293" s="9" t="s">
        <v>12</v>
      </c>
      <c r="E293" s="159"/>
      <c r="F293" s="159">
        <f>0.0619</f>
        <v>0.0619</v>
      </c>
      <c r="G293" s="160">
        <f>E291*F293</f>
        <v>0.043329999999999994</v>
      </c>
    </row>
    <row r="294" spans="1:7" ht="15">
      <c r="A294" s="8" t="s">
        <v>0</v>
      </c>
      <c r="B294" s="9" t="s">
        <v>0</v>
      </c>
      <c r="C294" s="9" t="s">
        <v>30</v>
      </c>
      <c r="D294" s="9" t="s">
        <v>14</v>
      </c>
      <c r="E294" s="159"/>
      <c r="F294" s="159">
        <f>0.03845</f>
        <v>0.03845</v>
      </c>
      <c r="G294" s="160">
        <f>E291*F294</f>
        <v>0.026914999999999998</v>
      </c>
    </row>
    <row r="295" spans="1:7" ht="15">
      <c r="A295" s="8" t="s">
        <v>0</v>
      </c>
      <c r="B295" s="9" t="s">
        <v>0</v>
      </c>
      <c r="C295" s="9" t="s">
        <v>0</v>
      </c>
      <c r="D295" s="9" t="s">
        <v>0</v>
      </c>
      <c r="E295" s="159"/>
      <c r="F295" s="159"/>
      <c r="G295" s="160"/>
    </row>
    <row r="296" spans="1:7" ht="15">
      <c r="A296" s="8" t="s">
        <v>192</v>
      </c>
      <c r="B296" s="9" t="s">
        <v>193</v>
      </c>
      <c r="C296" s="9" t="s">
        <v>194</v>
      </c>
      <c r="D296" s="9" t="s">
        <v>5</v>
      </c>
      <c r="E296" s="159">
        <f>'Du toan chi tiet'!E137</f>
        <v>4.36</v>
      </c>
      <c r="F296" s="159"/>
      <c r="G296" s="160"/>
    </row>
    <row r="297" spans="1:7" ht="15">
      <c r="A297" s="8" t="s">
        <v>0</v>
      </c>
      <c r="B297" s="9" t="s">
        <v>0</v>
      </c>
      <c r="C297" s="9" t="s">
        <v>34</v>
      </c>
      <c r="D297" s="9" t="s">
        <v>9</v>
      </c>
      <c r="E297" s="159"/>
      <c r="F297" s="159">
        <f>0.00794</f>
        <v>0.00794</v>
      </c>
      <c r="G297" s="160">
        <f>E296*F297</f>
        <v>0.0346184</v>
      </c>
    </row>
    <row r="298" spans="1:7" ht="15">
      <c r="A298" s="8" t="s">
        <v>0</v>
      </c>
      <c r="B298" s="9" t="s">
        <v>0</v>
      </c>
      <c r="C298" s="9" t="s">
        <v>35</v>
      </c>
      <c r="D298" s="9" t="s">
        <v>9</v>
      </c>
      <c r="E298" s="159"/>
      <c r="F298" s="159">
        <f>0.00087</f>
        <v>0.00087</v>
      </c>
      <c r="G298" s="160">
        <f>E296*F298</f>
        <v>0.0037932000000000005</v>
      </c>
    </row>
    <row r="299" spans="1:7" ht="15">
      <c r="A299" s="8" t="s">
        <v>0</v>
      </c>
      <c r="B299" s="9" t="s">
        <v>0</v>
      </c>
      <c r="C299" s="9" t="s">
        <v>36</v>
      </c>
      <c r="D299" s="9" t="s">
        <v>9</v>
      </c>
      <c r="E299" s="159"/>
      <c r="F299" s="159">
        <f>0.00459</f>
        <v>0.00459</v>
      </c>
      <c r="G299" s="160">
        <f>E296*F299</f>
        <v>0.020012400000000003</v>
      </c>
    </row>
    <row r="300" spans="1:7" ht="15">
      <c r="A300" s="8" t="s">
        <v>0</v>
      </c>
      <c r="B300" s="9" t="s">
        <v>0</v>
      </c>
      <c r="C300" s="9" t="s">
        <v>37</v>
      </c>
      <c r="D300" s="9" t="s">
        <v>7</v>
      </c>
      <c r="E300" s="159"/>
      <c r="F300" s="159">
        <f>0.12</f>
        <v>0.12</v>
      </c>
      <c r="G300" s="160">
        <f>E296*F300</f>
        <v>0.5232</v>
      </c>
    </row>
    <row r="301" spans="1:7" ht="15">
      <c r="A301" s="8" t="s">
        <v>0</v>
      </c>
      <c r="B301" s="9" t="s">
        <v>0</v>
      </c>
      <c r="C301" s="9" t="s">
        <v>38</v>
      </c>
      <c r="D301" s="9" t="s">
        <v>12</v>
      </c>
      <c r="E301" s="159"/>
      <c r="F301" s="159">
        <f>0.1361</f>
        <v>0.1361</v>
      </c>
      <c r="G301" s="160">
        <f>E296*F301</f>
        <v>0.593396</v>
      </c>
    </row>
    <row r="302" spans="1:7" ht="15">
      <c r="A302" s="8" t="s">
        <v>0</v>
      </c>
      <c r="B302" s="9" t="s">
        <v>0</v>
      </c>
      <c r="C302" s="9" t="s">
        <v>0</v>
      </c>
      <c r="D302" s="9" t="s">
        <v>0</v>
      </c>
      <c r="E302" s="159"/>
      <c r="F302" s="159"/>
      <c r="G302" s="160"/>
    </row>
    <row r="303" spans="1:7" ht="15">
      <c r="A303" s="8" t="s">
        <v>195</v>
      </c>
      <c r="B303" s="9" t="s">
        <v>40</v>
      </c>
      <c r="C303" s="9" t="s">
        <v>41</v>
      </c>
      <c r="D303" s="9" t="s">
        <v>24</v>
      </c>
      <c r="E303" s="159">
        <f>'Du toan chi tiet'!E139</f>
        <v>1</v>
      </c>
      <c r="F303" s="159"/>
      <c r="G303" s="160"/>
    </row>
    <row r="304" spans="1:7" ht="15">
      <c r="A304" s="8" t="s">
        <v>0</v>
      </c>
      <c r="B304" s="9" t="s">
        <v>0</v>
      </c>
      <c r="C304" s="9" t="s">
        <v>42</v>
      </c>
      <c r="D304" s="9" t="s">
        <v>0</v>
      </c>
      <c r="E304" s="159"/>
      <c r="F304" s="159"/>
      <c r="G304" s="160"/>
    </row>
    <row r="305" spans="1:7" ht="15">
      <c r="A305" s="8" t="s">
        <v>0</v>
      </c>
      <c r="B305" s="9" t="s">
        <v>0</v>
      </c>
      <c r="C305" s="9" t="s">
        <v>43</v>
      </c>
      <c r="D305" s="9" t="s">
        <v>7</v>
      </c>
      <c r="E305" s="159"/>
      <c r="F305" s="159">
        <f>203</f>
        <v>203</v>
      </c>
      <c r="G305" s="160">
        <f>E303*F305</f>
        <v>203</v>
      </c>
    </row>
    <row r="306" spans="1:7" ht="15">
      <c r="A306" s="8" t="s">
        <v>0</v>
      </c>
      <c r="B306" s="9" t="s">
        <v>0</v>
      </c>
      <c r="C306" s="9" t="s">
        <v>44</v>
      </c>
      <c r="D306" s="9" t="s">
        <v>9</v>
      </c>
      <c r="E306" s="159"/>
      <c r="F306" s="159">
        <f>0.551</f>
        <v>0.551</v>
      </c>
      <c r="G306" s="160">
        <f>E303*F306</f>
        <v>0.551</v>
      </c>
    </row>
    <row r="307" spans="1:7" ht="15">
      <c r="A307" s="8" t="s">
        <v>0</v>
      </c>
      <c r="B307" s="9" t="s">
        <v>0</v>
      </c>
      <c r="C307" s="9" t="s">
        <v>45</v>
      </c>
      <c r="D307" s="9" t="s">
        <v>9</v>
      </c>
      <c r="E307" s="159"/>
      <c r="F307" s="159">
        <f>0.894</f>
        <v>0.894</v>
      </c>
      <c r="G307" s="160">
        <f>E303*F307</f>
        <v>0.894</v>
      </c>
    </row>
    <row r="308" spans="1:7" ht="15">
      <c r="A308" s="8" t="s">
        <v>0</v>
      </c>
      <c r="B308" s="9" t="s">
        <v>0</v>
      </c>
      <c r="C308" s="9" t="s">
        <v>10</v>
      </c>
      <c r="D308" s="9" t="s">
        <v>9</v>
      </c>
      <c r="E308" s="159"/>
      <c r="F308" s="159">
        <f>0.17</f>
        <v>0.17</v>
      </c>
      <c r="G308" s="160">
        <f>E303*F308</f>
        <v>0.17</v>
      </c>
    </row>
    <row r="309" spans="1:7" ht="15">
      <c r="A309" s="8" t="s">
        <v>0</v>
      </c>
      <c r="B309" s="9" t="s">
        <v>0</v>
      </c>
      <c r="C309" s="9" t="s">
        <v>46</v>
      </c>
      <c r="D309" s="9" t="s">
        <v>12</v>
      </c>
      <c r="E309" s="159"/>
      <c r="F309" s="159">
        <f>1.07</f>
        <v>1.07</v>
      </c>
      <c r="G309" s="160">
        <f>E303*F309</f>
        <v>1.07</v>
      </c>
    </row>
    <row r="310" spans="1:7" ht="15">
      <c r="A310" s="8" t="s">
        <v>0</v>
      </c>
      <c r="B310" s="9" t="s">
        <v>0</v>
      </c>
      <c r="C310" s="9" t="s">
        <v>47</v>
      </c>
      <c r="D310" s="9" t="s">
        <v>14</v>
      </c>
      <c r="E310" s="159"/>
      <c r="F310" s="159">
        <f>0.095</f>
        <v>0.095</v>
      </c>
      <c r="G310" s="160">
        <f>E303*F310</f>
        <v>0.095</v>
      </c>
    </row>
    <row r="311" spans="1:7" ht="15">
      <c r="A311" s="8" t="s">
        <v>0</v>
      </c>
      <c r="B311" s="9" t="s">
        <v>0</v>
      </c>
      <c r="C311" s="9" t="s">
        <v>48</v>
      </c>
      <c r="D311" s="9" t="s">
        <v>14</v>
      </c>
      <c r="E311" s="159"/>
      <c r="F311" s="159">
        <f>0.089</f>
        <v>0.089</v>
      </c>
      <c r="G311" s="160">
        <f>E303*F311</f>
        <v>0.089</v>
      </c>
    </row>
    <row r="312" spans="1:7" ht="15">
      <c r="A312" s="8" t="s">
        <v>0</v>
      </c>
      <c r="B312" s="9" t="s">
        <v>0</v>
      </c>
      <c r="C312" s="9" t="s">
        <v>0</v>
      </c>
      <c r="D312" s="9" t="s">
        <v>0</v>
      </c>
      <c r="E312" s="159"/>
      <c r="F312" s="159"/>
      <c r="G312" s="160"/>
    </row>
    <row r="313" spans="1:7" ht="15">
      <c r="A313" s="8" t="s">
        <v>196</v>
      </c>
      <c r="B313" s="9" t="s">
        <v>197</v>
      </c>
      <c r="C313" s="9" t="s">
        <v>198</v>
      </c>
      <c r="D313" s="9" t="s">
        <v>24</v>
      </c>
      <c r="E313" s="159">
        <f>'Du toan chi tiet'!E141</f>
        <v>1.2</v>
      </c>
      <c r="F313" s="159"/>
      <c r="G313" s="160"/>
    </row>
    <row r="314" spans="1:7" ht="15">
      <c r="A314" s="8" t="s">
        <v>0</v>
      </c>
      <c r="B314" s="9" t="s">
        <v>0</v>
      </c>
      <c r="C314" s="9" t="s">
        <v>122</v>
      </c>
      <c r="D314" s="9" t="s">
        <v>7</v>
      </c>
      <c r="E314" s="159"/>
      <c r="F314" s="159">
        <f>222.425</f>
        <v>222.425</v>
      </c>
      <c r="G314" s="160">
        <f>E313*F314</f>
        <v>266.91</v>
      </c>
    </row>
    <row r="315" spans="1:7" ht="15">
      <c r="A315" s="8" t="s">
        <v>0</v>
      </c>
      <c r="B315" s="9" t="s">
        <v>0</v>
      </c>
      <c r="C315" s="9" t="s">
        <v>44</v>
      </c>
      <c r="D315" s="9" t="s">
        <v>9</v>
      </c>
      <c r="E315" s="159"/>
      <c r="F315" s="159">
        <f>0.552475</f>
        <v>0.552475</v>
      </c>
      <c r="G315" s="160">
        <f>E313*F315</f>
        <v>0.6629700000000001</v>
      </c>
    </row>
    <row r="316" spans="1:7" ht="15">
      <c r="A316" s="8" t="s">
        <v>0</v>
      </c>
      <c r="B316" s="9" t="s">
        <v>0</v>
      </c>
      <c r="C316" s="9" t="s">
        <v>199</v>
      </c>
      <c r="D316" s="9" t="s">
        <v>9</v>
      </c>
      <c r="E316" s="159"/>
      <c r="F316" s="159">
        <f>0.909175</f>
        <v>0.909175</v>
      </c>
      <c r="G316" s="160">
        <f>E313*F316</f>
        <v>1.0910099999999998</v>
      </c>
    </row>
    <row r="317" spans="1:7" ht="15">
      <c r="A317" s="8" t="s">
        <v>0</v>
      </c>
      <c r="B317" s="9" t="s">
        <v>0</v>
      </c>
      <c r="C317" s="9" t="s">
        <v>10</v>
      </c>
      <c r="D317" s="9" t="s">
        <v>9</v>
      </c>
      <c r="E317" s="159"/>
      <c r="F317" s="159">
        <f>0.187575</f>
        <v>0.187575</v>
      </c>
      <c r="G317" s="160">
        <f>E313*F317</f>
        <v>0.22508999999999998</v>
      </c>
    </row>
    <row r="318" spans="1:7" ht="15">
      <c r="A318" s="8" t="s">
        <v>0</v>
      </c>
      <c r="B318" s="9" t="s">
        <v>0</v>
      </c>
      <c r="C318" s="9" t="s">
        <v>46</v>
      </c>
      <c r="D318" s="9" t="s">
        <v>12</v>
      </c>
      <c r="E318" s="159"/>
      <c r="F318" s="159">
        <f>1.19</f>
        <v>1.19</v>
      </c>
      <c r="G318" s="160">
        <f>E313*F318</f>
        <v>1.428</v>
      </c>
    </row>
    <row r="319" spans="1:7" ht="15">
      <c r="A319" s="8" t="s">
        <v>0</v>
      </c>
      <c r="B319" s="9" t="s">
        <v>0</v>
      </c>
      <c r="C319" s="9" t="s">
        <v>47</v>
      </c>
      <c r="D319" s="9" t="s">
        <v>14</v>
      </c>
      <c r="E319" s="159"/>
      <c r="F319" s="159">
        <f>0.095</f>
        <v>0.095</v>
      </c>
      <c r="G319" s="160">
        <f>E313*F319</f>
        <v>0.11399999999999999</v>
      </c>
    </row>
    <row r="320" spans="1:7" ht="15">
      <c r="A320" s="8" t="s">
        <v>0</v>
      </c>
      <c r="B320" s="9" t="s">
        <v>0</v>
      </c>
      <c r="C320" s="9" t="s">
        <v>48</v>
      </c>
      <c r="D320" s="9" t="s">
        <v>14</v>
      </c>
      <c r="E320" s="159"/>
      <c r="F320" s="159">
        <f>0.089</f>
        <v>0.089</v>
      </c>
      <c r="G320" s="160">
        <f>E313*F320</f>
        <v>0.10679999999999999</v>
      </c>
    </row>
    <row r="321" spans="1:7" ht="15">
      <c r="A321" s="8" t="s">
        <v>0</v>
      </c>
      <c r="B321" s="9" t="s">
        <v>0</v>
      </c>
      <c r="C321" s="9" t="s">
        <v>0</v>
      </c>
      <c r="D321" s="9" t="s">
        <v>0</v>
      </c>
      <c r="E321" s="159"/>
      <c r="F321" s="159"/>
      <c r="G321" s="160"/>
    </row>
    <row r="322" spans="1:7" ht="15">
      <c r="A322" s="8" t="s">
        <v>200</v>
      </c>
      <c r="B322" s="9" t="s">
        <v>201</v>
      </c>
      <c r="C322" s="9" t="s">
        <v>202</v>
      </c>
      <c r="D322" s="9" t="s">
        <v>203</v>
      </c>
      <c r="E322" s="159">
        <f>'Du toan chi tiet'!E143</f>
        <v>0.048</v>
      </c>
      <c r="F322" s="159"/>
      <c r="G322" s="160"/>
    </row>
    <row r="323" spans="1:7" ht="15">
      <c r="A323" s="8" t="s">
        <v>0</v>
      </c>
      <c r="B323" s="9" t="s">
        <v>0</v>
      </c>
      <c r="C323" s="9" t="s">
        <v>204</v>
      </c>
      <c r="D323" s="9" t="s">
        <v>0</v>
      </c>
      <c r="E323" s="159"/>
      <c r="F323" s="159"/>
      <c r="G323" s="160"/>
    </row>
    <row r="324" spans="1:7" ht="15">
      <c r="A324" s="8" t="s">
        <v>0</v>
      </c>
      <c r="B324" s="9" t="s">
        <v>0</v>
      </c>
      <c r="C324" s="9" t="s">
        <v>205</v>
      </c>
      <c r="D324" s="9" t="s">
        <v>7</v>
      </c>
      <c r="E324" s="159"/>
      <c r="F324" s="159">
        <f>1005</f>
        <v>1005</v>
      </c>
      <c r="G324" s="160">
        <f>E322*F324</f>
        <v>48.24</v>
      </c>
    </row>
    <row r="325" spans="1:7" ht="15">
      <c r="A325" s="8" t="s">
        <v>0</v>
      </c>
      <c r="B325" s="9" t="s">
        <v>0</v>
      </c>
      <c r="C325" s="9" t="s">
        <v>206</v>
      </c>
      <c r="D325" s="9" t="s">
        <v>7</v>
      </c>
      <c r="E325" s="159"/>
      <c r="F325" s="159">
        <f>16.07</f>
        <v>16.07</v>
      </c>
      <c r="G325" s="160">
        <f>E322*F325</f>
        <v>0.77136</v>
      </c>
    </row>
    <row r="326" spans="1:7" ht="15">
      <c r="A326" s="8" t="s">
        <v>0</v>
      </c>
      <c r="B326" s="9" t="s">
        <v>0</v>
      </c>
      <c r="C326" s="9" t="s">
        <v>38</v>
      </c>
      <c r="D326" s="9" t="s">
        <v>12</v>
      </c>
      <c r="E326" s="159"/>
      <c r="F326" s="159">
        <f>18.46</f>
        <v>18.46</v>
      </c>
      <c r="G326" s="160">
        <f>E322*F326</f>
        <v>0.8860800000000001</v>
      </c>
    </row>
    <row r="327" spans="1:7" ht="15">
      <c r="A327" s="8" t="s">
        <v>0</v>
      </c>
      <c r="B327" s="9" t="s">
        <v>0</v>
      </c>
      <c r="C327" s="9" t="s">
        <v>207</v>
      </c>
      <c r="D327" s="9" t="s">
        <v>14</v>
      </c>
      <c r="E327" s="159"/>
      <c r="F327" s="159">
        <f>0.4</f>
        <v>0.4</v>
      </c>
      <c r="G327" s="160">
        <f>E322*F327</f>
        <v>0.019200000000000002</v>
      </c>
    </row>
    <row r="328" spans="1:7" ht="15">
      <c r="A328" s="8" t="s">
        <v>0</v>
      </c>
      <c r="B328" s="9" t="s">
        <v>0</v>
      </c>
      <c r="C328" s="9" t="s">
        <v>0</v>
      </c>
      <c r="D328" s="9" t="s">
        <v>0</v>
      </c>
      <c r="E328" s="159"/>
      <c r="F328" s="159"/>
      <c r="G328" s="160"/>
    </row>
    <row r="329" spans="1:7" ht="15">
      <c r="A329" s="8" t="s">
        <v>208</v>
      </c>
      <c r="B329" s="9" t="s">
        <v>209</v>
      </c>
      <c r="C329" s="9" t="s">
        <v>210</v>
      </c>
      <c r="D329" s="9" t="s">
        <v>5</v>
      </c>
      <c r="E329" s="159">
        <f>'Du toan chi tiet'!E145</f>
        <v>6.48</v>
      </c>
      <c r="F329" s="159"/>
      <c r="G329" s="160"/>
    </row>
    <row r="330" spans="1:7" ht="15">
      <c r="A330" s="8" t="s">
        <v>0</v>
      </c>
      <c r="B330" s="9" t="s">
        <v>0</v>
      </c>
      <c r="C330" s="9" t="s">
        <v>34</v>
      </c>
      <c r="D330" s="9" t="s">
        <v>9</v>
      </c>
      <c r="E330" s="159"/>
      <c r="F330" s="159">
        <f>0.00794</f>
        <v>0.00794</v>
      </c>
      <c r="G330" s="160">
        <f>E329*F330</f>
        <v>0.051451199999999996</v>
      </c>
    </row>
    <row r="331" spans="1:7" ht="15">
      <c r="A331" s="8" t="s">
        <v>0</v>
      </c>
      <c r="B331" s="9" t="s">
        <v>0</v>
      </c>
      <c r="C331" s="9" t="s">
        <v>35</v>
      </c>
      <c r="D331" s="9" t="s">
        <v>9</v>
      </c>
      <c r="E331" s="159"/>
      <c r="F331" s="159">
        <f>0.00189</f>
        <v>0.00189</v>
      </c>
      <c r="G331" s="160">
        <f>E329*F331</f>
        <v>0.0122472</v>
      </c>
    </row>
    <row r="332" spans="1:7" ht="15">
      <c r="A332" s="8" t="s">
        <v>0</v>
      </c>
      <c r="B332" s="9" t="s">
        <v>0</v>
      </c>
      <c r="C332" s="9" t="s">
        <v>36</v>
      </c>
      <c r="D332" s="9" t="s">
        <v>9</v>
      </c>
      <c r="E332" s="159"/>
      <c r="F332" s="159">
        <f>0.00957</f>
        <v>0.00957</v>
      </c>
      <c r="G332" s="160">
        <f>E329*F332</f>
        <v>0.06201360000000001</v>
      </c>
    </row>
    <row r="333" spans="1:7" ht="15">
      <c r="A333" s="8" t="s">
        <v>0</v>
      </c>
      <c r="B333" s="9" t="s">
        <v>0</v>
      </c>
      <c r="C333" s="9" t="s">
        <v>37</v>
      </c>
      <c r="D333" s="9" t="s">
        <v>7</v>
      </c>
      <c r="E333" s="159"/>
      <c r="F333" s="159">
        <f>0.1429</f>
        <v>0.1429</v>
      </c>
      <c r="G333" s="160">
        <f>E329*F333</f>
        <v>0.925992</v>
      </c>
    </row>
    <row r="334" spans="1:7" ht="15">
      <c r="A334" s="8" t="s">
        <v>0</v>
      </c>
      <c r="B334" s="9" t="s">
        <v>0</v>
      </c>
      <c r="C334" s="9" t="s">
        <v>38</v>
      </c>
      <c r="D334" s="9" t="s">
        <v>12</v>
      </c>
      <c r="E334" s="159"/>
      <c r="F334" s="159">
        <f>0.275</f>
        <v>0.275</v>
      </c>
      <c r="G334" s="160">
        <f>E329*F334</f>
        <v>1.7820000000000003</v>
      </c>
    </row>
    <row r="335" spans="1:7" ht="15">
      <c r="A335" s="8" t="s">
        <v>0</v>
      </c>
      <c r="B335" s="9" t="s">
        <v>0</v>
      </c>
      <c r="C335" s="9" t="s">
        <v>0</v>
      </c>
      <c r="D335" s="9" t="s">
        <v>0</v>
      </c>
      <c r="E335" s="159"/>
      <c r="F335" s="159"/>
      <c r="G335" s="160"/>
    </row>
    <row r="336" spans="1:7" ht="15">
      <c r="A336" s="8" t="s">
        <v>211</v>
      </c>
      <c r="B336" s="9" t="s">
        <v>212</v>
      </c>
      <c r="C336" s="9" t="s">
        <v>213</v>
      </c>
      <c r="D336" s="9" t="s">
        <v>24</v>
      </c>
      <c r="E336" s="159">
        <f>'Du toan chi tiet'!E147</f>
        <v>0.542</v>
      </c>
      <c r="F336" s="159"/>
      <c r="G336" s="160"/>
    </row>
    <row r="337" spans="1:7" ht="15">
      <c r="A337" s="8" t="s">
        <v>0</v>
      </c>
      <c r="B337" s="9" t="s">
        <v>0</v>
      </c>
      <c r="C337" s="9" t="s">
        <v>214</v>
      </c>
      <c r="D337" s="9" t="s">
        <v>0</v>
      </c>
      <c r="E337" s="159"/>
      <c r="F337" s="159"/>
      <c r="G337" s="160"/>
    </row>
    <row r="338" spans="1:7" ht="15">
      <c r="A338" s="8" t="s">
        <v>0</v>
      </c>
      <c r="B338" s="9" t="s">
        <v>0</v>
      </c>
      <c r="C338" s="9" t="s">
        <v>122</v>
      </c>
      <c r="D338" s="9" t="s">
        <v>7</v>
      </c>
      <c r="E338" s="159"/>
      <c r="F338" s="159">
        <f>265.475</f>
        <v>265.475</v>
      </c>
      <c r="G338" s="160">
        <f>E336*F338</f>
        <v>143.88745000000003</v>
      </c>
    </row>
    <row r="339" spans="1:7" ht="15">
      <c r="A339" s="8" t="s">
        <v>0</v>
      </c>
      <c r="B339" s="9" t="s">
        <v>0</v>
      </c>
      <c r="C339" s="9" t="s">
        <v>44</v>
      </c>
      <c r="D339" s="9" t="s">
        <v>9</v>
      </c>
      <c r="E339" s="159"/>
      <c r="F339" s="159">
        <f>0.5412</f>
        <v>0.5412</v>
      </c>
      <c r="G339" s="160">
        <f>E336*F339</f>
        <v>0.29333040000000005</v>
      </c>
    </row>
    <row r="340" spans="1:7" ht="15">
      <c r="A340" s="8" t="s">
        <v>0</v>
      </c>
      <c r="B340" s="9" t="s">
        <v>0</v>
      </c>
      <c r="C340" s="9" t="s">
        <v>199</v>
      </c>
      <c r="D340" s="9" t="s">
        <v>9</v>
      </c>
      <c r="E340" s="159"/>
      <c r="F340" s="159">
        <f>0.892775</f>
        <v>0.892775</v>
      </c>
      <c r="G340" s="160">
        <f>E336*F340</f>
        <v>0.48388405</v>
      </c>
    </row>
    <row r="341" spans="1:7" ht="15">
      <c r="A341" s="8" t="s">
        <v>0</v>
      </c>
      <c r="B341" s="9" t="s">
        <v>0</v>
      </c>
      <c r="C341" s="9" t="s">
        <v>10</v>
      </c>
      <c r="D341" s="9" t="s">
        <v>9</v>
      </c>
      <c r="E341" s="159"/>
      <c r="F341" s="159">
        <f>0.187575</f>
        <v>0.187575</v>
      </c>
      <c r="G341" s="160">
        <f>E336*F341</f>
        <v>0.10166565</v>
      </c>
    </row>
    <row r="342" spans="1:7" ht="15">
      <c r="A342" s="8" t="s">
        <v>0</v>
      </c>
      <c r="B342" s="9" t="s">
        <v>0</v>
      </c>
      <c r="C342" s="9" t="s">
        <v>46</v>
      </c>
      <c r="D342" s="9" t="s">
        <v>12</v>
      </c>
      <c r="E342" s="159"/>
      <c r="F342" s="159">
        <f>2.67</f>
        <v>2.67</v>
      </c>
      <c r="G342" s="160">
        <f>E336*F342</f>
        <v>1.44714</v>
      </c>
    </row>
    <row r="343" spans="1:7" ht="15">
      <c r="A343" s="8" t="s">
        <v>0</v>
      </c>
      <c r="B343" s="9" t="s">
        <v>0</v>
      </c>
      <c r="C343" s="9" t="s">
        <v>47</v>
      </c>
      <c r="D343" s="9" t="s">
        <v>14</v>
      </c>
      <c r="E343" s="159"/>
      <c r="F343" s="159">
        <f>0.095</f>
        <v>0.095</v>
      </c>
      <c r="G343" s="160">
        <f>E336*F343</f>
        <v>0.05149</v>
      </c>
    </row>
    <row r="344" spans="1:7" ht="15">
      <c r="A344" s="8" t="s">
        <v>0</v>
      </c>
      <c r="B344" s="9" t="s">
        <v>0</v>
      </c>
      <c r="C344" s="9" t="s">
        <v>215</v>
      </c>
      <c r="D344" s="9" t="s">
        <v>14</v>
      </c>
      <c r="E344" s="159"/>
      <c r="F344" s="159">
        <f>0.18</f>
        <v>0.18</v>
      </c>
      <c r="G344" s="160">
        <f>E336*F344</f>
        <v>0.09756000000000001</v>
      </c>
    </row>
    <row r="345" spans="1:7" ht="15">
      <c r="A345" s="8" t="s">
        <v>0</v>
      </c>
      <c r="B345" s="9" t="s">
        <v>0</v>
      </c>
      <c r="C345" s="9" t="s">
        <v>0</v>
      </c>
      <c r="D345" s="9" t="s">
        <v>0</v>
      </c>
      <c r="E345" s="159"/>
      <c r="F345" s="159"/>
      <c r="G345" s="160"/>
    </row>
    <row r="346" spans="1:7" ht="15">
      <c r="A346" s="8" t="s">
        <v>216</v>
      </c>
      <c r="B346" s="9" t="s">
        <v>50</v>
      </c>
      <c r="C346" s="9" t="s">
        <v>51</v>
      </c>
      <c r="D346" s="9" t="s">
        <v>24</v>
      </c>
      <c r="E346" s="159">
        <f>'Du toan chi tiet'!E149</f>
        <v>2.376</v>
      </c>
      <c r="F346" s="159"/>
      <c r="G346" s="160"/>
    </row>
    <row r="347" spans="1:7" ht="15">
      <c r="A347" s="8" t="s">
        <v>0</v>
      </c>
      <c r="B347" s="9" t="s">
        <v>0</v>
      </c>
      <c r="C347" s="9" t="s">
        <v>217</v>
      </c>
      <c r="D347" s="9" t="s">
        <v>0</v>
      </c>
      <c r="E347" s="159"/>
      <c r="F347" s="159"/>
      <c r="G347" s="160"/>
    </row>
    <row r="348" spans="1:7" ht="15">
      <c r="A348" s="8" t="s">
        <v>0</v>
      </c>
      <c r="B348" s="9" t="s">
        <v>0</v>
      </c>
      <c r="C348" s="9" t="s">
        <v>53</v>
      </c>
      <c r="D348" s="9" t="s">
        <v>54</v>
      </c>
      <c r="E348" s="159"/>
      <c r="F348" s="159">
        <f>658</f>
        <v>658</v>
      </c>
      <c r="G348" s="160">
        <f>E346*F348</f>
        <v>1563.408</v>
      </c>
    </row>
    <row r="349" spans="1:7" ht="15">
      <c r="A349" s="8" t="s">
        <v>0</v>
      </c>
      <c r="B349" s="9" t="s">
        <v>0</v>
      </c>
      <c r="C349" s="9" t="s">
        <v>6</v>
      </c>
      <c r="D349" s="9" t="s">
        <v>7</v>
      </c>
      <c r="E349" s="159"/>
      <c r="F349" s="159">
        <f>72.336</f>
        <v>72.336</v>
      </c>
      <c r="G349" s="160">
        <f>E346*F349</f>
        <v>171.87033599999998</v>
      </c>
    </row>
    <row r="350" spans="1:7" ht="15">
      <c r="A350" s="8" t="s">
        <v>0</v>
      </c>
      <c r="B350" s="9" t="s">
        <v>0</v>
      </c>
      <c r="C350" s="9" t="s">
        <v>8</v>
      </c>
      <c r="D350" s="9" t="s">
        <v>9</v>
      </c>
      <c r="E350" s="159"/>
      <c r="F350" s="159">
        <f>0.32606</f>
        <v>0.32606</v>
      </c>
      <c r="G350" s="160">
        <f>E346*F350</f>
        <v>0.7747185600000001</v>
      </c>
    </row>
    <row r="351" spans="1:7" ht="15">
      <c r="A351" s="8" t="s">
        <v>0</v>
      </c>
      <c r="B351" s="9" t="s">
        <v>0</v>
      </c>
      <c r="C351" s="9" t="s">
        <v>10</v>
      </c>
      <c r="D351" s="9" t="s">
        <v>9</v>
      </c>
      <c r="E351" s="159"/>
      <c r="F351" s="159">
        <f>0.07535</f>
        <v>0.07535</v>
      </c>
      <c r="G351" s="160">
        <f>E346*F351</f>
        <v>0.17903159999999999</v>
      </c>
    </row>
    <row r="352" spans="1:7" ht="15">
      <c r="A352" s="8" t="s">
        <v>0</v>
      </c>
      <c r="B352" s="9" t="s">
        <v>0</v>
      </c>
      <c r="C352" s="9" t="s">
        <v>38</v>
      </c>
      <c r="D352" s="9" t="s">
        <v>12</v>
      </c>
      <c r="E352" s="159"/>
      <c r="F352" s="159">
        <f>2.47</f>
        <v>2.47</v>
      </c>
      <c r="G352" s="160">
        <f>E346*F352</f>
        <v>5.868720000000001</v>
      </c>
    </row>
    <row r="353" spans="1:7" ht="15">
      <c r="A353" s="8" t="s">
        <v>0</v>
      </c>
      <c r="B353" s="9" t="s">
        <v>0</v>
      </c>
      <c r="C353" s="9" t="s">
        <v>55</v>
      </c>
      <c r="D353" s="9" t="s">
        <v>14</v>
      </c>
      <c r="E353" s="159"/>
      <c r="F353" s="159">
        <f>0.035</f>
        <v>0.035</v>
      </c>
      <c r="G353" s="160">
        <f>E346*F353</f>
        <v>0.08316</v>
      </c>
    </row>
    <row r="354" spans="1:7" ht="15">
      <c r="A354" s="8" t="s">
        <v>0</v>
      </c>
      <c r="B354" s="9" t="s">
        <v>0</v>
      </c>
      <c r="C354" s="9" t="s">
        <v>0</v>
      </c>
      <c r="D354" s="9" t="s">
        <v>0</v>
      </c>
      <c r="E354" s="159"/>
      <c r="F354" s="159"/>
      <c r="G354" s="160"/>
    </row>
    <row r="355" spans="1:7" ht="15">
      <c r="A355" s="8" t="s">
        <v>218</v>
      </c>
      <c r="B355" s="9" t="s">
        <v>92</v>
      </c>
      <c r="C355" s="9" t="s">
        <v>93</v>
      </c>
      <c r="D355" s="9" t="s">
        <v>5</v>
      </c>
      <c r="E355" s="159">
        <f>'Du toan chi tiet'!E151</f>
        <v>13.104</v>
      </c>
      <c r="F355" s="159"/>
      <c r="G355" s="160"/>
    </row>
    <row r="356" spans="1:7" ht="15">
      <c r="A356" s="8" t="s">
        <v>0</v>
      </c>
      <c r="B356" s="9" t="s">
        <v>0</v>
      </c>
      <c r="C356" s="9" t="s">
        <v>94</v>
      </c>
      <c r="D356" s="9" t="s">
        <v>0</v>
      </c>
      <c r="E356" s="159"/>
      <c r="F356" s="159"/>
      <c r="G356" s="160"/>
    </row>
    <row r="357" spans="1:7" ht="15">
      <c r="A357" s="8" t="s">
        <v>0</v>
      </c>
      <c r="B357" s="9" t="s">
        <v>0</v>
      </c>
      <c r="C357" s="9" t="s">
        <v>6</v>
      </c>
      <c r="D357" s="9" t="s">
        <v>7</v>
      </c>
      <c r="E357" s="159"/>
      <c r="F357" s="159">
        <f>5.117</f>
        <v>5.117</v>
      </c>
      <c r="G357" s="160">
        <f>E355*F357</f>
        <v>67.053168</v>
      </c>
    </row>
    <row r="358" spans="1:7" ht="15">
      <c r="A358" s="8" t="s">
        <v>0</v>
      </c>
      <c r="B358" s="9" t="s">
        <v>0</v>
      </c>
      <c r="C358" s="9" t="s">
        <v>95</v>
      </c>
      <c r="D358" s="9" t="s">
        <v>9</v>
      </c>
      <c r="E358" s="159"/>
      <c r="F358" s="159">
        <f>0.019703</f>
        <v>0.019703</v>
      </c>
      <c r="G358" s="160">
        <f>E355*F358</f>
        <v>0.25818811199999997</v>
      </c>
    </row>
    <row r="359" spans="1:7" ht="15">
      <c r="A359" s="8" t="s">
        <v>0</v>
      </c>
      <c r="B359" s="9" t="s">
        <v>0</v>
      </c>
      <c r="C359" s="9" t="s">
        <v>10</v>
      </c>
      <c r="D359" s="9" t="s">
        <v>9</v>
      </c>
      <c r="E359" s="159"/>
      <c r="F359" s="159">
        <f>0.004726</f>
        <v>0.004726</v>
      </c>
      <c r="G359" s="160">
        <f>E355*F359</f>
        <v>0.061929503999999996</v>
      </c>
    </row>
    <row r="360" spans="1:7" ht="15">
      <c r="A360" s="8" t="s">
        <v>0</v>
      </c>
      <c r="B360" s="9" t="s">
        <v>0</v>
      </c>
      <c r="C360" s="9" t="s">
        <v>38</v>
      </c>
      <c r="D360" s="9" t="s">
        <v>12</v>
      </c>
      <c r="E360" s="159"/>
      <c r="F360" s="159">
        <f>0.26</f>
        <v>0.26</v>
      </c>
      <c r="G360" s="160">
        <f>E355*F360</f>
        <v>3.40704</v>
      </c>
    </row>
    <row r="361" spans="1:7" ht="15">
      <c r="A361" s="8" t="s">
        <v>0</v>
      </c>
      <c r="B361" s="9" t="s">
        <v>0</v>
      </c>
      <c r="C361" s="9" t="s">
        <v>13</v>
      </c>
      <c r="D361" s="9" t="s">
        <v>14</v>
      </c>
      <c r="E361" s="159"/>
      <c r="F361" s="159">
        <f>0.002</f>
        <v>0.002</v>
      </c>
      <c r="G361" s="160">
        <f>E355*F361</f>
        <v>0.026208</v>
      </c>
    </row>
    <row r="362" spans="1:7" ht="15">
      <c r="A362" s="8" t="s">
        <v>0</v>
      </c>
      <c r="B362" s="9" t="s">
        <v>0</v>
      </c>
      <c r="C362" s="9" t="s">
        <v>0</v>
      </c>
      <c r="D362" s="9" t="s">
        <v>0</v>
      </c>
      <c r="E362" s="159"/>
      <c r="F362" s="159"/>
      <c r="G362" s="160"/>
    </row>
    <row r="363" spans="1:7" ht="15">
      <c r="A363" s="8" t="s">
        <v>219</v>
      </c>
      <c r="B363" s="9" t="s">
        <v>220</v>
      </c>
      <c r="C363" s="9" t="s">
        <v>221</v>
      </c>
      <c r="D363" s="9" t="s">
        <v>5</v>
      </c>
      <c r="E363" s="159">
        <f>'Du toan chi tiet'!E153</f>
        <v>4</v>
      </c>
      <c r="F363" s="159"/>
      <c r="G363" s="160"/>
    </row>
    <row r="364" spans="1:7" ht="15">
      <c r="A364" s="8" t="s">
        <v>0</v>
      </c>
      <c r="B364" s="9" t="s">
        <v>0</v>
      </c>
      <c r="C364" s="9" t="s">
        <v>222</v>
      </c>
      <c r="D364" s="9" t="s">
        <v>0</v>
      </c>
      <c r="E364" s="159"/>
      <c r="F364" s="159"/>
      <c r="G364" s="160"/>
    </row>
    <row r="365" spans="1:7" ht="15">
      <c r="A365" s="8" t="s">
        <v>0</v>
      </c>
      <c r="B365" s="9" t="s">
        <v>0</v>
      </c>
      <c r="C365" s="9" t="s">
        <v>6</v>
      </c>
      <c r="D365" s="9" t="s">
        <v>7</v>
      </c>
      <c r="E365" s="159"/>
      <c r="F365" s="159">
        <f>6.6</f>
        <v>6.6</v>
      </c>
      <c r="G365" s="160">
        <f>E363*F365</f>
        <v>26.4</v>
      </c>
    </row>
    <row r="366" spans="1:7" ht="15">
      <c r="A366" s="8" t="s">
        <v>0</v>
      </c>
      <c r="B366" s="9" t="s">
        <v>0</v>
      </c>
      <c r="C366" s="9" t="s">
        <v>8</v>
      </c>
      <c r="D366" s="9" t="s">
        <v>9</v>
      </c>
      <c r="E366" s="159"/>
      <c r="F366" s="159">
        <f>0.02975</f>
        <v>0.02975</v>
      </c>
      <c r="G366" s="160">
        <f>E363*F366</f>
        <v>0.119</v>
      </c>
    </row>
    <row r="367" spans="1:7" ht="15">
      <c r="A367" s="8" t="s">
        <v>0</v>
      </c>
      <c r="B367" s="9" t="s">
        <v>0</v>
      </c>
      <c r="C367" s="9" t="s">
        <v>10</v>
      </c>
      <c r="D367" s="9" t="s">
        <v>9</v>
      </c>
      <c r="E367" s="159"/>
      <c r="F367" s="159">
        <f>0.006875</f>
        <v>0.006875</v>
      </c>
      <c r="G367" s="160">
        <f>E363*F367</f>
        <v>0.0275</v>
      </c>
    </row>
    <row r="368" spans="1:7" ht="15">
      <c r="A368" s="8" t="s">
        <v>0</v>
      </c>
      <c r="B368" s="9" t="s">
        <v>0</v>
      </c>
      <c r="C368" s="9" t="s">
        <v>122</v>
      </c>
      <c r="D368" s="9" t="s">
        <v>7</v>
      </c>
      <c r="E368" s="159"/>
      <c r="F368" s="159">
        <f>0.301</f>
        <v>0.301</v>
      </c>
      <c r="G368" s="160">
        <f>E363*F368</f>
        <v>1.204</v>
      </c>
    </row>
    <row r="369" spans="1:7" ht="15">
      <c r="A369" s="8" t="s">
        <v>0</v>
      </c>
      <c r="B369" s="9" t="s">
        <v>0</v>
      </c>
      <c r="C369" s="9" t="s">
        <v>11</v>
      </c>
      <c r="D369" s="9" t="s">
        <v>12</v>
      </c>
      <c r="E369" s="159"/>
      <c r="F369" s="159">
        <f>0.091</f>
        <v>0.091</v>
      </c>
      <c r="G369" s="160">
        <f>E363*F369</f>
        <v>0.364</v>
      </c>
    </row>
    <row r="370" spans="1:7" ht="15">
      <c r="A370" s="8" t="s">
        <v>0</v>
      </c>
      <c r="B370" s="9" t="s">
        <v>0</v>
      </c>
      <c r="C370" s="9" t="s">
        <v>13</v>
      </c>
      <c r="D370" s="9" t="s">
        <v>14</v>
      </c>
      <c r="E370" s="159"/>
      <c r="F370" s="159">
        <f>0.004</f>
        <v>0.004</v>
      </c>
      <c r="G370" s="160">
        <f>E363*F370</f>
        <v>0.016</v>
      </c>
    </row>
    <row r="371" spans="1:7" ht="15">
      <c r="A371" s="8" t="s">
        <v>0</v>
      </c>
      <c r="B371" s="9" t="s">
        <v>0</v>
      </c>
      <c r="C371" s="9" t="s">
        <v>0</v>
      </c>
      <c r="D371" s="9" t="s">
        <v>0</v>
      </c>
      <c r="E371" s="159"/>
      <c r="F371" s="159"/>
      <c r="G371" s="160"/>
    </row>
    <row r="372" spans="1:7" ht="15">
      <c r="A372" s="8" t="s">
        <v>223</v>
      </c>
      <c r="B372" s="9" t="s">
        <v>224</v>
      </c>
      <c r="C372" s="9" t="s">
        <v>225</v>
      </c>
      <c r="D372" s="9" t="s">
        <v>5</v>
      </c>
      <c r="E372" s="159">
        <f>'Du toan chi tiet'!E155</f>
        <v>2.16</v>
      </c>
      <c r="F372" s="159"/>
      <c r="G372" s="160"/>
    </row>
    <row r="373" spans="1:7" ht="15">
      <c r="A373" s="8" t="s">
        <v>0</v>
      </c>
      <c r="B373" s="9" t="s">
        <v>0</v>
      </c>
      <c r="C373" s="9" t="s">
        <v>226</v>
      </c>
      <c r="D373" s="9" t="s">
        <v>0</v>
      </c>
      <c r="E373" s="159"/>
      <c r="F373" s="159"/>
      <c r="G373" s="160"/>
    </row>
    <row r="374" spans="1:7" ht="15">
      <c r="A374" s="8" t="s">
        <v>0</v>
      </c>
      <c r="B374" s="9" t="s">
        <v>0</v>
      </c>
      <c r="C374" s="9" t="s">
        <v>34</v>
      </c>
      <c r="D374" s="9" t="s">
        <v>9</v>
      </c>
      <c r="E374" s="159"/>
      <c r="F374" s="159">
        <f>0.00794</f>
        <v>0.00794</v>
      </c>
      <c r="G374" s="160">
        <f>E372*F374</f>
        <v>0.0171504</v>
      </c>
    </row>
    <row r="375" spans="1:7" ht="15">
      <c r="A375" s="8" t="s">
        <v>0</v>
      </c>
      <c r="B375" s="9" t="s">
        <v>0</v>
      </c>
      <c r="C375" s="9" t="s">
        <v>35</v>
      </c>
      <c r="D375" s="9" t="s">
        <v>9</v>
      </c>
      <c r="E375" s="159"/>
      <c r="F375" s="159">
        <f>0.00112</f>
        <v>0.00112</v>
      </c>
      <c r="G375" s="160">
        <f>E372*F375</f>
        <v>0.0024192</v>
      </c>
    </row>
    <row r="376" spans="1:7" ht="15">
      <c r="A376" s="8" t="s">
        <v>0</v>
      </c>
      <c r="B376" s="9" t="s">
        <v>0</v>
      </c>
      <c r="C376" s="9" t="s">
        <v>36</v>
      </c>
      <c r="D376" s="9" t="s">
        <v>9</v>
      </c>
      <c r="E376" s="159"/>
      <c r="F376" s="159">
        <f>0.00668</f>
        <v>0.00668</v>
      </c>
      <c r="G376" s="160">
        <f>E372*F376</f>
        <v>0.014428800000000002</v>
      </c>
    </row>
    <row r="377" spans="1:7" ht="15">
      <c r="A377" s="8" t="s">
        <v>0</v>
      </c>
      <c r="B377" s="9" t="s">
        <v>0</v>
      </c>
      <c r="C377" s="9" t="s">
        <v>37</v>
      </c>
      <c r="D377" s="9" t="s">
        <v>7</v>
      </c>
      <c r="E377" s="159"/>
      <c r="F377" s="159">
        <f>0.0805</f>
        <v>0.0805</v>
      </c>
      <c r="G377" s="160">
        <f>E372*F377</f>
        <v>0.17388</v>
      </c>
    </row>
    <row r="378" spans="1:7" ht="15">
      <c r="A378" s="8" t="s">
        <v>0</v>
      </c>
      <c r="B378" s="9" t="s">
        <v>0</v>
      </c>
      <c r="C378" s="9" t="s">
        <v>38</v>
      </c>
      <c r="D378" s="9" t="s">
        <v>12</v>
      </c>
      <c r="E378" s="159"/>
      <c r="F378" s="159">
        <f>0.2847</f>
        <v>0.2847</v>
      </c>
      <c r="G378" s="160">
        <f>E372*F378</f>
        <v>0.614952</v>
      </c>
    </row>
    <row r="379" spans="1:7" ht="15">
      <c r="A379" s="8" t="s">
        <v>0</v>
      </c>
      <c r="B379" s="9" t="s">
        <v>0</v>
      </c>
      <c r="C379" s="9" t="s">
        <v>0</v>
      </c>
      <c r="D379" s="9" t="s">
        <v>0</v>
      </c>
      <c r="E379" s="159"/>
      <c r="F379" s="159"/>
      <c r="G379" s="160"/>
    </row>
    <row r="380" spans="1:7" ht="15">
      <c r="A380" s="8" t="s">
        <v>227</v>
      </c>
      <c r="B380" s="9" t="s">
        <v>228</v>
      </c>
      <c r="C380" s="9" t="s">
        <v>229</v>
      </c>
      <c r="D380" s="9" t="s">
        <v>230</v>
      </c>
      <c r="E380" s="159">
        <f>'Du toan chi tiet'!E157</f>
        <v>0.378</v>
      </c>
      <c r="F380" s="159"/>
      <c r="G380" s="160"/>
    </row>
    <row r="381" spans="1:7" ht="15">
      <c r="A381" s="8" t="s">
        <v>0</v>
      </c>
      <c r="B381" s="9" t="s">
        <v>0</v>
      </c>
      <c r="C381" s="9" t="s">
        <v>231</v>
      </c>
      <c r="D381" s="9" t="s">
        <v>0</v>
      </c>
      <c r="E381" s="159"/>
      <c r="F381" s="159"/>
      <c r="G381" s="160"/>
    </row>
    <row r="382" spans="1:7" ht="15">
      <c r="A382" s="8" t="s">
        <v>0</v>
      </c>
      <c r="B382" s="9" t="s">
        <v>0</v>
      </c>
      <c r="C382" s="9" t="s">
        <v>122</v>
      </c>
      <c r="D382" s="9" t="s">
        <v>7</v>
      </c>
      <c r="E382" s="159"/>
      <c r="F382" s="159">
        <f>262.885</f>
        <v>262.885</v>
      </c>
      <c r="G382" s="160">
        <f>E380*F382</f>
        <v>99.37053</v>
      </c>
    </row>
    <row r="383" spans="1:7" ht="15">
      <c r="A383" s="8" t="s">
        <v>0</v>
      </c>
      <c r="B383" s="9" t="s">
        <v>0</v>
      </c>
      <c r="C383" s="9" t="s">
        <v>44</v>
      </c>
      <c r="D383" s="9" t="s">
        <v>9</v>
      </c>
      <c r="E383" s="159"/>
      <c r="F383" s="159">
        <f>0.53592</f>
        <v>0.53592</v>
      </c>
      <c r="G383" s="160">
        <f>E380*F383</f>
        <v>0.20257776</v>
      </c>
    </row>
    <row r="384" spans="1:7" ht="15">
      <c r="A384" s="8" t="s">
        <v>0</v>
      </c>
      <c r="B384" s="9" t="s">
        <v>0</v>
      </c>
      <c r="C384" s="9" t="s">
        <v>199</v>
      </c>
      <c r="D384" s="9" t="s">
        <v>9</v>
      </c>
      <c r="E384" s="159"/>
      <c r="F384" s="159">
        <f>0.884065</f>
        <v>0.884065</v>
      </c>
      <c r="G384" s="160">
        <f>E380*F384</f>
        <v>0.33417657</v>
      </c>
    </row>
    <row r="385" spans="1:7" ht="15">
      <c r="A385" s="8" t="s">
        <v>0</v>
      </c>
      <c r="B385" s="9" t="s">
        <v>0</v>
      </c>
      <c r="C385" s="9" t="s">
        <v>10</v>
      </c>
      <c r="D385" s="9" t="s">
        <v>9</v>
      </c>
      <c r="E385" s="159"/>
      <c r="F385" s="159">
        <f>0.185745</f>
        <v>0.185745</v>
      </c>
      <c r="G385" s="160">
        <f>E380*F385</f>
        <v>0.07021161</v>
      </c>
    </row>
    <row r="386" spans="1:7" ht="15">
      <c r="A386" s="8" t="s">
        <v>0</v>
      </c>
      <c r="B386" s="9" t="s">
        <v>0</v>
      </c>
      <c r="C386" s="9" t="s">
        <v>46</v>
      </c>
      <c r="D386" s="9" t="s">
        <v>12</v>
      </c>
      <c r="E386" s="159"/>
      <c r="F386" s="159">
        <f>1.93</f>
        <v>1.93</v>
      </c>
      <c r="G386" s="160">
        <f>E380*F386</f>
        <v>0.72954</v>
      </c>
    </row>
    <row r="387" spans="1:7" ht="15">
      <c r="A387" s="8" t="s">
        <v>0</v>
      </c>
      <c r="B387" s="9" t="s">
        <v>0</v>
      </c>
      <c r="C387" s="9" t="s">
        <v>47</v>
      </c>
      <c r="D387" s="9" t="s">
        <v>14</v>
      </c>
      <c r="E387" s="159"/>
      <c r="F387" s="159">
        <f>0.095</f>
        <v>0.095</v>
      </c>
      <c r="G387" s="160">
        <f>E380*F387</f>
        <v>0.03591</v>
      </c>
    </row>
    <row r="388" spans="1:7" ht="15">
      <c r="A388" s="8" t="s">
        <v>0</v>
      </c>
      <c r="B388" s="9" t="s">
        <v>0</v>
      </c>
      <c r="C388" s="9" t="s">
        <v>0</v>
      </c>
      <c r="D388" s="9" t="s">
        <v>0</v>
      </c>
      <c r="E388" s="159"/>
      <c r="F388" s="159"/>
      <c r="G388" s="160"/>
    </row>
    <row r="389" spans="1:7" ht="15">
      <c r="A389" s="8" t="s">
        <v>232</v>
      </c>
      <c r="B389" s="9" t="s">
        <v>233</v>
      </c>
      <c r="C389" s="9" t="s">
        <v>234</v>
      </c>
      <c r="D389" s="9" t="s">
        <v>235</v>
      </c>
      <c r="E389" s="159">
        <f>'Du toan chi tiet'!E159</f>
        <v>10</v>
      </c>
      <c r="F389" s="159"/>
      <c r="G389" s="160"/>
    </row>
    <row r="390" spans="1:7" ht="15">
      <c r="A390" s="8" t="s">
        <v>0</v>
      </c>
      <c r="B390" s="9" t="s">
        <v>0</v>
      </c>
      <c r="C390" s="9" t="s">
        <v>236</v>
      </c>
      <c r="D390" s="9" t="s">
        <v>0</v>
      </c>
      <c r="E390" s="159"/>
      <c r="F390" s="159"/>
      <c r="G390" s="160"/>
    </row>
    <row r="391" spans="1:7" ht="15">
      <c r="A391" s="8" t="s">
        <v>0</v>
      </c>
      <c r="B391" s="9" t="s">
        <v>0</v>
      </c>
      <c r="C391" s="9" t="s">
        <v>46</v>
      </c>
      <c r="D391" s="9" t="s">
        <v>12</v>
      </c>
      <c r="E391" s="159"/>
      <c r="F391" s="159">
        <f>0.13</f>
        <v>0.13</v>
      </c>
      <c r="G391" s="160">
        <f>E389*F391</f>
        <v>1.3</v>
      </c>
    </row>
    <row r="392" spans="1:7" ht="15">
      <c r="A392" s="8" t="s">
        <v>0</v>
      </c>
      <c r="B392" s="9" t="s">
        <v>0</v>
      </c>
      <c r="C392" s="9" t="s">
        <v>0</v>
      </c>
      <c r="D392" s="9" t="s">
        <v>0</v>
      </c>
      <c r="E392" s="159"/>
      <c r="F392" s="159"/>
      <c r="G392" s="160"/>
    </row>
    <row r="393" spans="1:7" ht="15">
      <c r="A393" s="8" t="s">
        <v>237</v>
      </c>
      <c r="B393" s="9" t="s">
        <v>238</v>
      </c>
      <c r="C393" s="9" t="s">
        <v>239</v>
      </c>
      <c r="D393" s="9" t="s">
        <v>240</v>
      </c>
      <c r="E393" s="159">
        <f>'Du toan chi tiet'!E164</f>
        <v>0</v>
      </c>
      <c r="F393" s="159"/>
      <c r="G393" s="160"/>
    </row>
    <row r="394" spans="1:7" ht="15">
      <c r="A394" s="8" t="s">
        <v>0</v>
      </c>
      <c r="B394" s="9" t="s">
        <v>0</v>
      </c>
      <c r="C394" s="9" t="s">
        <v>241</v>
      </c>
      <c r="D394" s="9" t="s">
        <v>0</v>
      </c>
      <c r="E394" s="159"/>
      <c r="F394" s="159"/>
      <c r="G394" s="160"/>
    </row>
    <row r="395" spans="1:7" ht="15">
      <c r="A395" s="8" t="s">
        <v>0</v>
      </c>
      <c r="B395" s="9" t="s">
        <v>0</v>
      </c>
      <c r="C395" s="9" t="s">
        <v>25</v>
      </c>
      <c r="D395" s="9" t="s">
        <v>12</v>
      </c>
      <c r="E395" s="159"/>
      <c r="F395" s="159">
        <f>0.31</f>
        <v>0.31</v>
      </c>
      <c r="G395" s="160">
        <f>E393*F395</f>
        <v>0</v>
      </c>
    </row>
    <row r="396" spans="1:7" ht="15">
      <c r="A396" s="8" t="s">
        <v>0</v>
      </c>
      <c r="B396" s="9" t="s">
        <v>0</v>
      </c>
      <c r="C396" s="9" t="s">
        <v>0</v>
      </c>
      <c r="D396" s="9" t="s">
        <v>0</v>
      </c>
      <c r="E396" s="159"/>
      <c r="F396" s="159"/>
      <c r="G396" s="160"/>
    </row>
    <row r="397" spans="1:7" ht="15">
      <c r="A397" s="8" t="s">
        <v>242</v>
      </c>
      <c r="B397" s="9" t="s">
        <v>243</v>
      </c>
      <c r="C397" s="9" t="s">
        <v>244</v>
      </c>
      <c r="D397" s="9" t="s">
        <v>24</v>
      </c>
      <c r="E397" s="159">
        <f>'Du toan chi tiet'!E166</f>
        <v>0</v>
      </c>
      <c r="F397" s="159"/>
      <c r="G397" s="160"/>
    </row>
    <row r="398" spans="1:7" ht="15">
      <c r="A398" s="8" t="s">
        <v>0</v>
      </c>
      <c r="B398" s="9" t="s">
        <v>0</v>
      </c>
      <c r="C398" s="9" t="s">
        <v>25</v>
      </c>
      <c r="D398" s="9" t="s">
        <v>12</v>
      </c>
      <c r="E398" s="159"/>
      <c r="F398" s="159">
        <f>0.09</f>
        <v>0.09</v>
      </c>
      <c r="G398" s="160">
        <f>E397*F398</f>
        <v>0</v>
      </c>
    </row>
    <row r="399" spans="1:7" ht="15">
      <c r="A399" s="8" t="s">
        <v>0</v>
      </c>
      <c r="B399" s="9" t="s">
        <v>0</v>
      </c>
      <c r="C399" s="9" t="s">
        <v>0</v>
      </c>
      <c r="D399" s="9" t="s">
        <v>0</v>
      </c>
      <c r="E399" s="159"/>
      <c r="F399" s="159"/>
      <c r="G399" s="160"/>
    </row>
    <row r="400" spans="1:7" ht="15">
      <c r="A400" s="8" t="s">
        <v>245</v>
      </c>
      <c r="B400" s="9" t="s">
        <v>246</v>
      </c>
      <c r="C400" s="9" t="s">
        <v>247</v>
      </c>
      <c r="D400" s="9" t="s">
        <v>248</v>
      </c>
      <c r="E400" s="159">
        <f>'Du toan chi tiet'!E167</f>
        <v>0</v>
      </c>
      <c r="F400" s="159"/>
      <c r="G400" s="160"/>
    </row>
    <row r="401" spans="1:7" ht="15">
      <c r="A401" s="8" t="s">
        <v>0</v>
      </c>
      <c r="B401" s="9" t="s">
        <v>0</v>
      </c>
      <c r="C401" s="9" t="s">
        <v>249</v>
      </c>
      <c r="D401" s="9" t="s">
        <v>14</v>
      </c>
      <c r="E401" s="159"/>
      <c r="F401" s="159">
        <f>0.027</f>
        <v>0.027</v>
      </c>
      <c r="G401" s="160">
        <f>E400*F401</f>
        <v>0</v>
      </c>
    </row>
    <row r="402" spans="1:7" ht="15">
      <c r="A402" s="8" t="s">
        <v>0</v>
      </c>
      <c r="B402" s="9" t="s">
        <v>0</v>
      </c>
      <c r="C402" s="9" t="s">
        <v>0</v>
      </c>
      <c r="D402" s="9" t="s">
        <v>0</v>
      </c>
      <c r="E402" s="159"/>
      <c r="F402" s="159"/>
      <c r="G402" s="160"/>
    </row>
    <row r="403" spans="1:7" ht="15">
      <c r="A403" s="8" t="s">
        <v>250</v>
      </c>
      <c r="B403" s="9" t="s">
        <v>251</v>
      </c>
      <c r="C403" s="9" t="s">
        <v>252</v>
      </c>
      <c r="D403" s="9" t="s">
        <v>248</v>
      </c>
      <c r="E403" s="159">
        <f>'Du toan chi tiet'!E168</f>
        <v>0</v>
      </c>
      <c r="F403" s="159"/>
      <c r="G403" s="160"/>
    </row>
    <row r="404" spans="1:7" ht="15">
      <c r="A404" s="8" t="s">
        <v>0</v>
      </c>
      <c r="B404" s="9" t="s">
        <v>0</v>
      </c>
      <c r="C404" s="9" t="s">
        <v>249</v>
      </c>
      <c r="D404" s="9" t="s">
        <v>14</v>
      </c>
      <c r="E404" s="159"/>
      <c r="F404" s="159">
        <f>0.019</f>
        <v>0.019</v>
      </c>
      <c r="G404" s="160">
        <f>E403*F404</f>
        <v>0</v>
      </c>
    </row>
    <row r="405" spans="1:7" ht="15">
      <c r="A405" s="8" t="s">
        <v>0</v>
      </c>
      <c r="B405" s="9" t="s">
        <v>0</v>
      </c>
      <c r="C405" s="9" t="s">
        <v>0</v>
      </c>
      <c r="D405" s="9" t="s">
        <v>0</v>
      </c>
      <c r="E405" s="159"/>
      <c r="F405" s="159"/>
      <c r="G405" s="160"/>
    </row>
    <row r="406" spans="1:7" ht="15">
      <c r="A406" s="8" t="s">
        <v>253</v>
      </c>
      <c r="B406" s="9" t="s">
        <v>254</v>
      </c>
      <c r="C406" s="9" t="s">
        <v>255</v>
      </c>
      <c r="D406" s="9" t="s">
        <v>248</v>
      </c>
      <c r="E406" s="159">
        <f>'Du toan chi tiet'!E169</f>
        <v>0</v>
      </c>
      <c r="F406" s="159"/>
      <c r="G406" s="160"/>
    </row>
    <row r="407" spans="1:7" ht="15">
      <c r="A407" s="8" t="s">
        <v>0</v>
      </c>
      <c r="B407" s="9" t="s">
        <v>0</v>
      </c>
      <c r="C407" s="9" t="s">
        <v>249</v>
      </c>
      <c r="D407" s="9" t="s">
        <v>14</v>
      </c>
      <c r="E407" s="159"/>
      <c r="F407" s="159">
        <f>0.014</f>
        <v>0.014</v>
      </c>
      <c r="G407" s="160">
        <f>E406*F407</f>
        <v>0</v>
      </c>
    </row>
    <row r="408" spans="1:7" ht="15">
      <c r="A408" s="8" t="s">
        <v>0</v>
      </c>
      <c r="B408" s="9" t="s">
        <v>0</v>
      </c>
      <c r="C408" s="9" t="s">
        <v>0</v>
      </c>
      <c r="D408" s="9" t="s">
        <v>0</v>
      </c>
      <c r="E408" s="159"/>
      <c r="F408" s="159"/>
      <c r="G408" s="160"/>
    </row>
    <row r="409" spans="1:7" ht="15">
      <c r="A409" s="8" t="s">
        <v>256</v>
      </c>
      <c r="B409" s="9" t="s">
        <v>257</v>
      </c>
      <c r="C409" s="9" t="s">
        <v>258</v>
      </c>
      <c r="D409" s="9" t="s">
        <v>248</v>
      </c>
      <c r="E409" s="159">
        <f>'Du toan chi tiet'!E170</f>
        <v>0</v>
      </c>
      <c r="F409" s="159"/>
      <c r="G409" s="160"/>
    </row>
    <row r="410" spans="1:7" ht="15">
      <c r="A410" s="8" t="s">
        <v>0</v>
      </c>
      <c r="B410" s="9" t="s">
        <v>0</v>
      </c>
      <c r="C410" s="9" t="s">
        <v>259</v>
      </c>
      <c r="D410" s="9" t="s">
        <v>14</v>
      </c>
      <c r="E410" s="159"/>
      <c r="F410" s="159">
        <f>0.022</f>
        <v>0.022</v>
      </c>
      <c r="G410" s="160">
        <f>E409*F410</f>
        <v>0</v>
      </c>
    </row>
    <row r="411" spans="1:7" ht="15">
      <c r="A411" s="8" t="s">
        <v>0</v>
      </c>
      <c r="B411" s="9" t="s">
        <v>0</v>
      </c>
      <c r="C411" s="9" t="s">
        <v>0</v>
      </c>
      <c r="D411" s="9" t="s">
        <v>0</v>
      </c>
      <c r="E411" s="159"/>
      <c r="F411" s="159"/>
      <c r="G411" s="160"/>
    </row>
    <row r="412" spans="1:7" ht="15">
      <c r="A412" s="8" t="s">
        <v>260</v>
      </c>
      <c r="B412" s="9" t="s">
        <v>261</v>
      </c>
      <c r="C412" s="9" t="s">
        <v>262</v>
      </c>
      <c r="D412" s="9" t="s">
        <v>248</v>
      </c>
      <c r="E412" s="159">
        <f>'Du toan chi tiet'!E171</f>
        <v>0</v>
      </c>
      <c r="F412" s="159"/>
      <c r="G412" s="160"/>
    </row>
    <row r="413" spans="1:7" ht="15">
      <c r="A413" s="8" t="s">
        <v>0</v>
      </c>
      <c r="B413" s="9" t="s">
        <v>0</v>
      </c>
      <c r="C413" s="9" t="s">
        <v>263</v>
      </c>
      <c r="D413" s="9" t="s">
        <v>0</v>
      </c>
      <c r="E413" s="159"/>
      <c r="F413" s="159"/>
      <c r="G413" s="160"/>
    </row>
    <row r="414" spans="1:7" ht="15">
      <c r="A414" s="8" t="s">
        <v>0</v>
      </c>
      <c r="B414" s="9" t="s">
        <v>0</v>
      </c>
      <c r="C414" s="9" t="s">
        <v>259</v>
      </c>
      <c r="D414" s="9" t="s">
        <v>14</v>
      </c>
      <c r="E414" s="159"/>
      <c r="F414" s="159">
        <f>0.016</f>
        <v>0.016</v>
      </c>
      <c r="G414" s="160">
        <f>E412*F414</f>
        <v>0</v>
      </c>
    </row>
    <row r="415" spans="1:7" ht="15">
      <c r="A415" s="8" t="s">
        <v>0</v>
      </c>
      <c r="B415" s="9" t="s">
        <v>0</v>
      </c>
      <c r="C415" s="9" t="s">
        <v>0</v>
      </c>
      <c r="D415" s="9" t="s">
        <v>0</v>
      </c>
      <c r="E415" s="159"/>
      <c r="F415" s="159"/>
      <c r="G415" s="160"/>
    </row>
    <row r="416" spans="1:7" ht="15">
      <c r="A416" s="8" t="s">
        <v>264</v>
      </c>
      <c r="B416" s="9" t="s">
        <v>265</v>
      </c>
      <c r="C416" s="9" t="s">
        <v>266</v>
      </c>
      <c r="D416" s="9" t="s">
        <v>267</v>
      </c>
      <c r="E416" s="159">
        <f>'Du toan chi tiet'!E173</f>
        <v>0</v>
      </c>
      <c r="F416" s="159"/>
      <c r="G416" s="160"/>
    </row>
    <row r="417" spans="1:7" ht="15">
      <c r="A417" s="8" t="s">
        <v>0</v>
      </c>
      <c r="B417" s="9" t="s">
        <v>0</v>
      </c>
      <c r="C417" s="9" t="s">
        <v>268</v>
      </c>
      <c r="D417" s="9" t="s">
        <v>0</v>
      </c>
      <c r="E417" s="159"/>
      <c r="F417" s="159"/>
      <c r="G417" s="160"/>
    </row>
    <row r="418" spans="1:7" ht="15">
      <c r="A418" s="8" t="s">
        <v>0</v>
      </c>
      <c r="B418" s="9" t="s">
        <v>0</v>
      </c>
      <c r="C418" s="9" t="s">
        <v>116</v>
      </c>
      <c r="D418" s="9" t="s">
        <v>14</v>
      </c>
      <c r="E418" s="159"/>
      <c r="F418" s="159">
        <f>0.024</f>
        <v>0.024</v>
      </c>
      <c r="G418" s="160">
        <f>E416*F418</f>
        <v>0</v>
      </c>
    </row>
    <row r="419" spans="1:7" ht="15">
      <c r="A419" s="8" t="s">
        <v>0</v>
      </c>
      <c r="B419" s="9" t="s">
        <v>0</v>
      </c>
      <c r="C419" s="9" t="s">
        <v>0</v>
      </c>
      <c r="D419" s="9" t="s">
        <v>0</v>
      </c>
      <c r="E419" s="159"/>
      <c r="F419" s="159"/>
      <c r="G419" s="160"/>
    </row>
    <row r="420" spans="1:7" ht="15">
      <c r="A420" s="8" t="s">
        <v>269</v>
      </c>
      <c r="B420" s="9" t="s">
        <v>270</v>
      </c>
      <c r="C420" s="9" t="s">
        <v>271</v>
      </c>
      <c r="D420" s="9" t="s">
        <v>267</v>
      </c>
      <c r="E420" s="159">
        <f>'Du toan chi tiet'!E175</f>
        <v>0</v>
      </c>
      <c r="F420" s="159"/>
      <c r="G420" s="160"/>
    </row>
    <row r="421" spans="1:7" ht="15">
      <c r="A421" s="8" t="s">
        <v>0</v>
      </c>
      <c r="B421" s="9" t="s">
        <v>0</v>
      </c>
      <c r="C421" s="9" t="s">
        <v>272</v>
      </c>
      <c r="D421" s="9" t="s">
        <v>0</v>
      </c>
      <c r="E421" s="159"/>
      <c r="F421" s="159"/>
      <c r="G421" s="160"/>
    </row>
    <row r="422" spans="1:7" ht="15">
      <c r="A422" s="8" t="s">
        <v>0</v>
      </c>
      <c r="B422" s="9" t="s">
        <v>0</v>
      </c>
      <c r="C422" s="9" t="s">
        <v>273</v>
      </c>
      <c r="D422" s="9" t="s">
        <v>14</v>
      </c>
      <c r="E422" s="159"/>
      <c r="F422" s="159">
        <f>0.049</f>
        <v>0.049</v>
      </c>
      <c r="G422" s="160">
        <f>E420*F422</f>
        <v>0</v>
      </c>
    </row>
    <row r="423" spans="1:7" ht="15">
      <c r="A423" s="8" t="s">
        <v>0</v>
      </c>
      <c r="B423" s="9" t="s">
        <v>0</v>
      </c>
      <c r="C423" s="9" t="s">
        <v>0</v>
      </c>
      <c r="D423" s="9" t="s">
        <v>0</v>
      </c>
      <c r="E423" s="159"/>
      <c r="F423" s="159"/>
      <c r="G423" s="160"/>
    </row>
    <row r="424" spans="1:7" ht="15">
      <c r="A424" s="8" t="s">
        <v>274</v>
      </c>
      <c r="B424" s="9" t="s">
        <v>275</v>
      </c>
      <c r="C424" s="9" t="s">
        <v>271</v>
      </c>
      <c r="D424" s="9" t="s">
        <v>267</v>
      </c>
      <c r="E424" s="159">
        <f>'Du toan chi tiet'!E177</f>
        <v>0</v>
      </c>
      <c r="F424" s="159"/>
      <c r="G424" s="160"/>
    </row>
    <row r="425" spans="1:7" ht="15">
      <c r="A425" s="8" t="s">
        <v>0</v>
      </c>
      <c r="B425" s="9" t="s">
        <v>0</v>
      </c>
      <c r="C425" s="9" t="s">
        <v>276</v>
      </c>
      <c r="D425" s="9" t="s">
        <v>0</v>
      </c>
      <c r="E425" s="159"/>
      <c r="F425" s="159"/>
      <c r="G425" s="160"/>
    </row>
    <row r="426" spans="1:7" ht="15">
      <c r="A426" s="8" t="s">
        <v>0</v>
      </c>
      <c r="B426" s="9" t="s">
        <v>0</v>
      </c>
      <c r="C426" s="9" t="s">
        <v>273</v>
      </c>
      <c r="D426" s="9" t="s">
        <v>14</v>
      </c>
      <c r="E426" s="159"/>
      <c r="F426" s="159">
        <f>0.036</f>
        <v>0.036</v>
      </c>
      <c r="G426" s="160">
        <f>E424*F426</f>
        <v>0</v>
      </c>
    </row>
    <row r="427" spans="1:7" ht="15.75" thickBot="1">
      <c r="A427" s="11" t="s">
        <v>0</v>
      </c>
      <c r="B427" s="12" t="s">
        <v>0</v>
      </c>
      <c r="C427" s="12" t="s">
        <v>0</v>
      </c>
      <c r="D427" s="12" t="s">
        <v>0</v>
      </c>
      <c r="E427" s="161"/>
      <c r="F427" s="161"/>
      <c r="G427" s="162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Zeros="0" zoomScalePageLayoutView="0" workbookViewId="0" topLeftCell="A4">
      <selection activeCell="G24" sqref="G24"/>
    </sheetView>
  </sheetViews>
  <sheetFormatPr defaultColWidth="8.796875" defaultRowHeight="15"/>
  <cols>
    <col min="1" max="1" width="4.59765625" style="16" customWidth="1"/>
    <col min="2" max="2" width="36.59765625" style="6" customWidth="1"/>
    <col min="3" max="3" width="7.19921875" style="16" customWidth="1"/>
    <col min="4" max="4" width="22.59765625" style="6" customWidth="1"/>
    <col min="5" max="5" width="16.59765625" style="7" customWidth="1"/>
    <col min="6" max="6" width="9" style="7" customWidth="1"/>
    <col min="7" max="7" width="12.8984375" style="7" bestFit="1" customWidth="1"/>
    <col min="8" max="8" width="13" style="7" bestFit="1" customWidth="1"/>
    <col min="9" max="9" width="12" style="7" bestFit="1" customWidth="1"/>
    <col min="10" max="10" width="9" style="7" customWidth="1"/>
    <col min="11" max="11" width="12.3984375" style="6" bestFit="1" customWidth="1"/>
    <col min="12" max="16384" width="9" style="6" customWidth="1"/>
  </cols>
  <sheetData>
    <row r="1" spans="1:5" ht="15.75">
      <c r="A1" s="258" t="s">
        <v>475</v>
      </c>
      <c r="B1" s="258"/>
      <c r="C1" s="258"/>
      <c r="D1" s="258"/>
      <c r="E1" s="258"/>
    </row>
    <row r="2" spans="1:5" ht="15.75">
      <c r="A2" s="258" t="s">
        <v>476</v>
      </c>
      <c r="B2" s="258"/>
      <c r="C2" s="258"/>
      <c r="D2" s="258"/>
      <c r="E2" s="258"/>
    </row>
    <row r="3" spans="1:5" ht="15.75">
      <c r="A3" s="259" t="s">
        <v>477</v>
      </c>
      <c r="B3" s="259"/>
      <c r="C3" s="259"/>
      <c r="D3" s="259"/>
      <c r="E3" s="259"/>
    </row>
    <row r="4" spans="1:5" ht="6.75" customHeight="1">
      <c r="A4" s="21"/>
      <c r="B4" s="2"/>
      <c r="C4" s="21"/>
      <c r="D4" s="2"/>
      <c r="E4" s="4"/>
    </row>
    <row r="5" spans="1:5" ht="16.5">
      <c r="A5" s="260" t="s">
        <v>631</v>
      </c>
      <c r="B5" s="260"/>
      <c r="C5" s="260"/>
      <c r="D5" s="260"/>
      <c r="E5" s="260"/>
    </row>
    <row r="6" spans="1:5" ht="7.5" customHeight="1">
      <c r="A6" s="21"/>
      <c r="B6" s="2"/>
      <c r="C6" s="21"/>
      <c r="D6" s="2"/>
      <c r="E6" s="4"/>
    </row>
    <row r="7" spans="1:10" s="25" customFormat="1" ht="16.5">
      <c r="A7" s="261" t="s">
        <v>478</v>
      </c>
      <c r="B7" s="261"/>
      <c r="C7" s="261"/>
      <c r="D7" s="261"/>
      <c r="E7" s="261"/>
      <c r="F7" s="169"/>
      <c r="G7" s="169"/>
      <c r="H7" s="169"/>
      <c r="I7" s="169"/>
      <c r="J7" s="169"/>
    </row>
    <row r="8" spans="1:10" s="25" customFormat="1" ht="16.5">
      <c r="A8" s="261" t="s">
        <v>479</v>
      </c>
      <c r="B8" s="261"/>
      <c r="C8" s="261"/>
      <c r="D8" s="261"/>
      <c r="E8" s="261"/>
      <c r="F8" s="169"/>
      <c r="G8" s="169"/>
      <c r="H8" s="169"/>
      <c r="I8" s="169"/>
      <c r="J8" s="169"/>
    </row>
    <row r="9" spans="1:10" s="25" customFormat="1" ht="16.5">
      <c r="A9" s="257" t="s">
        <v>601</v>
      </c>
      <c r="B9" s="257"/>
      <c r="C9" s="257"/>
      <c r="D9" s="257"/>
      <c r="E9" s="257"/>
      <c r="F9" s="169"/>
      <c r="G9" s="169"/>
      <c r="H9" s="169"/>
      <c r="I9" s="169"/>
      <c r="J9" s="169"/>
    </row>
    <row r="10" spans="1:5" ht="17.25" thickBot="1">
      <c r="A10" s="21"/>
      <c r="B10" s="2"/>
      <c r="C10" s="21"/>
      <c r="D10" s="2"/>
      <c r="E10" s="246" t="s">
        <v>632</v>
      </c>
    </row>
    <row r="11" spans="1:5" ht="36" customHeight="1">
      <c r="A11" s="172" t="s">
        <v>302</v>
      </c>
      <c r="B11" s="173" t="s">
        <v>480</v>
      </c>
      <c r="C11" s="174" t="s">
        <v>481</v>
      </c>
      <c r="D11" s="173" t="s">
        <v>482</v>
      </c>
      <c r="E11" s="175" t="s">
        <v>483</v>
      </c>
    </row>
    <row r="12" spans="1:5" ht="15.75">
      <c r="A12" s="33" t="s">
        <v>545</v>
      </c>
      <c r="B12" s="27" t="s">
        <v>546</v>
      </c>
      <c r="C12" s="35" t="s">
        <v>547</v>
      </c>
      <c r="D12" s="247" t="s">
        <v>548</v>
      </c>
      <c r="E12" s="28">
        <f>SUM(E13:E17)</f>
        <v>894088000</v>
      </c>
    </row>
    <row r="13" spans="1:5" ht="15">
      <c r="A13" s="17" t="s">
        <v>0</v>
      </c>
      <c r="B13" s="9" t="s">
        <v>595</v>
      </c>
      <c r="C13" s="19" t="s">
        <v>286</v>
      </c>
      <c r="D13" s="248" t="s">
        <v>285</v>
      </c>
      <c r="E13" s="10">
        <f>ROUND('CP Xay lap'!E20,-3)</f>
        <v>545270000</v>
      </c>
    </row>
    <row r="14" spans="1:11" ht="15">
      <c r="A14" s="17" t="s">
        <v>0</v>
      </c>
      <c r="B14" s="9" t="s">
        <v>596</v>
      </c>
      <c r="C14" s="19" t="s">
        <v>284</v>
      </c>
      <c r="D14" s="248" t="s">
        <v>283</v>
      </c>
      <c r="E14" s="10">
        <f>ROUND('CP Xay lap'!E34,-3)</f>
        <v>148406000</v>
      </c>
      <c r="G14" s="170">
        <v>917391268</v>
      </c>
      <c r="H14" s="170">
        <f>E12</f>
        <v>894088000</v>
      </c>
      <c r="I14" s="170">
        <f aca="true" t="shared" si="0" ref="I14:I20">H14-G14</f>
        <v>-23303268</v>
      </c>
      <c r="K14" s="7">
        <f>+E21+E22</f>
        <v>76155000</v>
      </c>
    </row>
    <row r="15" spans="1:11" ht="15">
      <c r="A15" s="17" t="s">
        <v>0</v>
      </c>
      <c r="B15" s="9" t="s">
        <v>597</v>
      </c>
      <c r="C15" s="19" t="s">
        <v>282</v>
      </c>
      <c r="D15" s="248" t="s">
        <v>281</v>
      </c>
      <c r="E15" s="10">
        <f>ROUND('CP Xay lap'!E48,-3)</f>
        <v>125291000</v>
      </c>
      <c r="G15" s="170"/>
      <c r="H15" s="170">
        <f>E18</f>
        <v>30000000</v>
      </c>
      <c r="I15" s="170">
        <f t="shared" si="0"/>
        <v>30000000</v>
      </c>
      <c r="K15" s="7">
        <f>+E23+E24</f>
        <v>5450000</v>
      </c>
    </row>
    <row r="16" spans="1:11" ht="15">
      <c r="A16" s="17" t="s">
        <v>0</v>
      </c>
      <c r="B16" s="9" t="s">
        <v>598</v>
      </c>
      <c r="C16" s="19" t="s">
        <v>280</v>
      </c>
      <c r="D16" s="248" t="s">
        <v>279</v>
      </c>
      <c r="E16" s="10">
        <f>ROUND('CP Xay lap'!E62,-3)</f>
        <v>58410000</v>
      </c>
      <c r="G16" s="170">
        <v>31613303</v>
      </c>
      <c r="H16" s="170">
        <f>E19</f>
        <v>33275000</v>
      </c>
      <c r="I16" s="170">
        <f t="shared" si="0"/>
        <v>1661697</v>
      </c>
      <c r="K16" s="7">
        <f>+E12+E18</f>
        <v>924088000</v>
      </c>
    </row>
    <row r="17" spans="1:11" ht="15">
      <c r="A17" s="17" t="s">
        <v>0</v>
      </c>
      <c r="B17" s="9" t="s">
        <v>599</v>
      </c>
      <c r="C17" s="19" t="s">
        <v>278</v>
      </c>
      <c r="D17" s="248" t="s">
        <v>277</v>
      </c>
      <c r="E17" s="10">
        <f>ROUND('CP Xay lap'!E76,-3)</f>
        <v>16711000</v>
      </c>
      <c r="G17" s="170">
        <v>143890935</v>
      </c>
      <c r="H17" s="170">
        <f>E20</f>
        <v>110976000</v>
      </c>
      <c r="I17" s="170">
        <f t="shared" si="0"/>
        <v>-32914935</v>
      </c>
      <c r="K17" s="7">
        <f>+E25</f>
        <v>29371000</v>
      </c>
    </row>
    <row r="18" spans="1:11" ht="15.75">
      <c r="A18" s="33" t="s">
        <v>549</v>
      </c>
      <c r="B18" s="27" t="s">
        <v>594</v>
      </c>
      <c r="C18" s="35" t="s">
        <v>551</v>
      </c>
      <c r="D18" s="247" t="s">
        <v>589</v>
      </c>
      <c r="E18" s="28">
        <v>30000000</v>
      </c>
      <c r="G18" s="170">
        <v>13600436</v>
      </c>
      <c r="H18" s="170">
        <f>E26</f>
        <v>10364000</v>
      </c>
      <c r="I18" s="170">
        <f t="shared" si="0"/>
        <v>-3236436</v>
      </c>
      <c r="K18" s="7">
        <f>+E28</f>
        <v>715000</v>
      </c>
    </row>
    <row r="19" spans="1:11" ht="15.75">
      <c r="A19" s="33">
        <v>3</v>
      </c>
      <c r="B19" s="27" t="s">
        <v>550</v>
      </c>
      <c r="C19" s="35" t="s">
        <v>554</v>
      </c>
      <c r="D19" s="247" t="s">
        <v>552</v>
      </c>
      <c r="E19" s="28">
        <f>ROUND(E12*1.08*3.446/100,-3)</f>
        <v>33275000</v>
      </c>
      <c r="G19" s="170">
        <f>264757058-253000</f>
        <v>264504058</v>
      </c>
      <c r="H19" s="170">
        <f>E31</f>
        <v>292297000</v>
      </c>
      <c r="I19" s="170">
        <f t="shared" si="0"/>
        <v>27792942</v>
      </c>
      <c r="K19" s="7">
        <f>+E19+E27+E29+E30</f>
        <v>42924000</v>
      </c>
    </row>
    <row r="20" spans="1:11" ht="15.75">
      <c r="A20" s="33">
        <v>4</v>
      </c>
      <c r="B20" s="27" t="s">
        <v>553</v>
      </c>
      <c r="C20" s="35" t="s">
        <v>569</v>
      </c>
      <c r="D20" s="247" t="s">
        <v>555</v>
      </c>
      <c r="E20" s="28">
        <f>SUM(E21:E25)</f>
        <v>110976000</v>
      </c>
      <c r="G20" s="171">
        <f>SUM(G14:G19)</f>
        <v>1371000000</v>
      </c>
      <c r="H20" s="171">
        <f>SUM(H14:H19)</f>
        <v>1371000000</v>
      </c>
      <c r="I20" s="170">
        <f t="shared" si="0"/>
        <v>0</v>
      </c>
      <c r="K20" s="7">
        <f>+E31</f>
        <v>292297000</v>
      </c>
    </row>
    <row r="21" spans="1:11" ht="15.75">
      <c r="A21" s="176" t="s">
        <v>0</v>
      </c>
      <c r="B21" s="167" t="s">
        <v>556</v>
      </c>
      <c r="C21" s="168" t="s">
        <v>557</v>
      </c>
      <c r="D21" s="249" t="s">
        <v>593</v>
      </c>
      <c r="E21" s="177">
        <v>18039000</v>
      </c>
      <c r="K21" s="7">
        <f>SUM(K14:K20)</f>
        <v>1371000000</v>
      </c>
    </row>
    <row r="22" spans="1:5" ht="15">
      <c r="A22" s="176" t="s">
        <v>0</v>
      </c>
      <c r="B22" s="167" t="s">
        <v>558</v>
      </c>
      <c r="C22" s="168" t="s">
        <v>559</v>
      </c>
      <c r="D22" s="250" t="s">
        <v>560</v>
      </c>
      <c r="E22" s="177">
        <f>ROUND(E12*6.5/100,-3)</f>
        <v>58116000</v>
      </c>
    </row>
    <row r="23" spans="1:5" ht="15.75">
      <c r="A23" s="176" t="s">
        <v>0</v>
      </c>
      <c r="B23" s="167" t="s">
        <v>561</v>
      </c>
      <c r="C23" s="168" t="s">
        <v>562</v>
      </c>
      <c r="D23" s="249" t="s">
        <v>584</v>
      </c>
      <c r="E23" s="177">
        <f>ROUND(E12*0.258%*1.2,-3)</f>
        <v>2768000</v>
      </c>
    </row>
    <row r="24" spans="1:5" ht="15.75">
      <c r="A24" s="176" t="s">
        <v>0</v>
      </c>
      <c r="B24" s="167" t="s">
        <v>563</v>
      </c>
      <c r="C24" s="168" t="s">
        <v>564</v>
      </c>
      <c r="D24" s="249" t="s">
        <v>585</v>
      </c>
      <c r="E24" s="177">
        <f>ROUND(E12*0.25%*1.2,-3)</f>
        <v>2682000</v>
      </c>
    </row>
    <row r="25" spans="1:5" ht="15">
      <c r="A25" s="176" t="s">
        <v>0</v>
      </c>
      <c r="B25" s="167" t="s">
        <v>565</v>
      </c>
      <c r="C25" s="168" t="s">
        <v>566</v>
      </c>
      <c r="D25" s="250" t="s">
        <v>567</v>
      </c>
      <c r="E25" s="177">
        <f>ROUND(E12*3.285/100,-3)</f>
        <v>29371000</v>
      </c>
    </row>
    <row r="26" spans="1:5" ht="15.75">
      <c r="A26" s="33">
        <v>5</v>
      </c>
      <c r="B26" s="27" t="s">
        <v>568</v>
      </c>
      <c r="C26" s="35" t="s">
        <v>580</v>
      </c>
      <c r="D26" s="247" t="s">
        <v>586</v>
      </c>
      <c r="E26" s="28">
        <f>SUM(E27:E30)</f>
        <v>10364000</v>
      </c>
    </row>
    <row r="27" spans="1:5" ht="15">
      <c r="A27" s="176" t="s">
        <v>0</v>
      </c>
      <c r="B27" s="167" t="s">
        <v>570</v>
      </c>
      <c r="C27" s="168" t="s">
        <v>571</v>
      </c>
      <c r="D27" s="250" t="s">
        <v>572</v>
      </c>
      <c r="E27" s="177">
        <v>500000</v>
      </c>
    </row>
    <row r="28" spans="1:5" ht="15">
      <c r="A28" s="176" t="s">
        <v>0</v>
      </c>
      <c r="B28" s="167" t="s">
        <v>573</v>
      </c>
      <c r="C28" s="168" t="s">
        <v>574</v>
      </c>
      <c r="D28" s="250" t="s">
        <v>575</v>
      </c>
      <c r="E28" s="177">
        <f>ROUND(E12*0.08/100,-3)</f>
        <v>715000</v>
      </c>
    </row>
    <row r="29" spans="1:5" ht="15">
      <c r="A29" s="176" t="s">
        <v>0</v>
      </c>
      <c r="B29" s="167" t="s">
        <v>576</v>
      </c>
      <c r="C29" s="168" t="s">
        <v>577</v>
      </c>
      <c r="D29" s="250" t="s">
        <v>578</v>
      </c>
      <c r="E29" s="177">
        <f>ROUND(G31*0.57/100,-3)</f>
        <v>6149000</v>
      </c>
    </row>
    <row r="30" spans="1:5" ht="15">
      <c r="A30" s="176"/>
      <c r="B30" s="167" t="s">
        <v>581</v>
      </c>
      <c r="C30" s="168" t="s">
        <v>582</v>
      </c>
      <c r="D30" s="250" t="s">
        <v>583</v>
      </c>
      <c r="E30" s="177">
        <v>3000000</v>
      </c>
    </row>
    <row r="31" spans="1:7" ht="15.75">
      <c r="A31" s="33">
        <v>6</v>
      </c>
      <c r="B31" s="27" t="s">
        <v>579</v>
      </c>
      <c r="C31" s="35" t="s">
        <v>591</v>
      </c>
      <c r="D31" s="247" t="s">
        <v>635</v>
      </c>
      <c r="E31" s="28">
        <f>ROUND(G32-E12-E18-E19-E20-E26,-3)</f>
        <v>292297000</v>
      </c>
      <c r="G31" s="7">
        <f>G32-292297000</f>
        <v>1078703000</v>
      </c>
    </row>
    <row r="32" spans="1:7" ht="16.5" thickBot="1">
      <c r="A32" s="178">
        <v>7</v>
      </c>
      <c r="B32" s="179" t="s">
        <v>590</v>
      </c>
      <c r="C32" s="180" t="s">
        <v>295</v>
      </c>
      <c r="D32" s="251" t="s">
        <v>592</v>
      </c>
      <c r="E32" s="181">
        <f>E12+E18+E19+E20+E26+E31</f>
        <v>1371000000</v>
      </c>
      <c r="G32" s="4">
        <v>1371000000</v>
      </c>
    </row>
  </sheetData>
  <sheetProtection/>
  <mergeCells count="7">
    <mergeCell ref="A9:E9"/>
    <mergeCell ref="A1:E1"/>
    <mergeCell ref="A2:E2"/>
    <mergeCell ref="A3:E3"/>
    <mergeCell ref="A5:E5"/>
    <mergeCell ref="A7:E7"/>
    <mergeCell ref="A8:E8"/>
  </mergeCells>
  <printOptions horizontalCentered="1"/>
  <pageMargins left="0.5" right="0.3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showZeros="0" zoomScalePageLayoutView="0" workbookViewId="0" topLeftCell="A55">
      <selection activeCell="E82" sqref="E82"/>
    </sheetView>
  </sheetViews>
  <sheetFormatPr defaultColWidth="8.796875" defaultRowHeight="15"/>
  <cols>
    <col min="1" max="1" width="4.59765625" style="16" customWidth="1"/>
    <col min="2" max="2" width="35.59765625" style="6" bestFit="1" customWidth="1"/>
    <col min="3" max="3" width="5.5" style="16" customWidth="1"/>
    <col min="4" max="4" width="22.69921875" style="6" customWidth="1"/>
    <col min="5" max="5" width="20.5" style="7" customWidth="1"/>
    <col min="6" max="16384" width="9" style="6" customWidth="1"/>
  </cols>
  <sheetData>
    <row r="1" spans="1:5" ht="21">
      <c r="A1" s="262" t="s">
        <v>484</v>
      </c>
      <c r="B1" s="262"/>
      <c r="C1" s="262"/>
      <c r="D1" s="262"/>
      <c r="E1" s="262"/>
    </row>
    <row r="2" spans="1:5" ht="15.75">
      <c r="A2" s="21"/>
      <c r="B2" s="2"/>
      <c r="C2" s="21"/>
      <c r="D2" s="2"/>
      <c r="E2" s="4"/>
    </row>
    <row r="3" spans="1:5" s="25" customFormat="1" ht="16.5">
      <c r="A3" s="261" t="s">
        <v>478</v>
      </c>
      <c r="B3" s="261"/>
      <c r="C3" s="261"/>
      <c r="D3" s="261"/>
      <c r="E3" s="261"/>
    </row>
    <row r="4" spans="1:5" s="25" customFormat="1" ht="16.5">
      <c r="A4" s="261" t="s">
        <v>479</v>
      </c>
      <c r="B4" s="261"/>
      <c r="C4" s="261"/>
      <c r="D4" s="261"/>
      <c r="E4" s="261"/>
    </row>
    <row r="5" spans="1:5" s="25" customFormat="1" ht="16.5">
      <c r="A5" s="261"/>
      <c r="B5" s="261"/>
      <c r="C5" s="261"/>
      <c r="D5" s="261"/>
      <c r="E5" s="261"/>
    </row>
    <row r="6" spans="1:5" ht="16.5" thickBot="1">
      <c r="A6" s="21"/>
      <c r="B6" s="2"/>
      <c r="C6" s="21"/>
      <c r="D6" s="2"/>
      <c r="E6" s="4"/>
    </row>
    <row r="7" spans="1:5" ht="36" customHeight="1">
      <c r="A7" s="22" t="s">
        <v>302</v>
      </c>
      <c r="B7" s="23" t="s">
        <v>480</v>
      </c>
      <c r="C7" s="24" t="s">
        <v>481</v>
      </c>
      <c r="D7" s="23" t="s">
        <v>482</v>
      </c>
      <c r="E7" s="36" t="s">
        <v>485</v>
      </c>
    </row>
    <row r="8" spans="1:5" ht="15.75">
      <c r="A8" s="32" t="s">
        <v>329</v>
      </c>
      <c r="B8" s="30" t="s">
        <v>1</v>
      </c>
      <c r="C8" s="34" t="s">
        <v>0</v>
      </c>
      <c r="D8" s="30" t="s">
        <v>0</v>
      </c>
      <c r="E8" s="31"/>
    </row>
    <row r="9" spans="1:5" ht="15">
      <c r="A9" s="17" t="s">
        <v>0</v>
      </c>
      <c r="B9" s="9" t="s">
        <v>324</v>
      </c>
      <c r="C9" s="19" t="s">
        <v>323</v>
      </c>
      <c r="D9" s="9" t="s">
        <v>322</v>
      </c>
      <c r="E9" s="10">
        <f>E10+E11+E12</f>
        <v>431522932.0407856</v>
      </c>
    </row>
    <row r="10" spans="1:5" ht="15">
      <c r="A10" s="17" t="s">
        <v>0</v>
      </c>
      <c r="B10" s="9" t="s">
        <v>321</v>
      </c>
      <c r="C10" s="19" t="s">
        <v>320</v>
      </c>
      <c r="D10" s="9" t="s">
        <v>319</v>
      </c>
      <c r="E10" s="10">
        <f>'Du toan chi tiet'!I9</f>
        <v>298076782.8444768</v>
      </c>
    </row>
    <row r="11" spans="1:5" ht="15">
      <c r="A11" s="17" t="s">
        <v>0</v>
      </c>
      <c r="B11" s="9" t="s">
        <v>318</v>
      </c>
      <c r="C11" s="19" t="s">
        <v>317</v>
      </c>
      <c r="D11" s="9" t="s">
        <v>316</v>
      </c>
      <c r="E11" s="10">
        <f>'Du toan chi tiet'!J9</f>
        <v>130873278.9881504</v>
      </c>
    </row>
    <row r="12" spans="1:5" ht="15">
      <c r="A12" s="17" t="s">
        <v>0</v>
      </c>
      <c r="B12" s="9" t="s">
        <v>315</v>
      </c>
      <c r="C12" s="19" t="s">
        <v>314</v>
      </c>
      <c r="D12" s="9" t="s">
        <v>313</v>
      </c>
      <c r="E12" s="10">
        <f>'Du toan chi tiet'!K9</f>
        <v>2572870.2081584</v>
      </c>
    </row>
    <row r="13" spans="1:5" ht="15">
      <c r="A13" s="17" t="s">
        <v>0</v>
      </c>
      <c r="B13" s="9" t="s">
        <v>312</v>
      </c>
      <c r="C13" s="19" t="s">
        <v>311</v>
      </c>
      <c r="D13" s="9" t="s">
        <v>310</v>
      </c>
      <c r="E13" s="10">
        <f>E14+E15+E16</f>
        <v>47035999.592445634</v>
      </c>
    </row>
    <row r="14" spans="1:5" ht="15">
      <c r="A14" s="17" t="s">
        <v>0</v>
      </c>
      <c r="B14" s="9" t="s">
        <v>309</v>
      </c>
      <c r="C14" s="19" t="s">
        <v>308</v>
      </c>
      <c r="D14" s="9" t="s">
        <v>307</v>
      </c>
      <c r="E14" s="10">
        <f>E9*7.3/100</f>
        <v>31501174.03897735</v>
      </c>
    </row>
    <row r="15" spans="1:5" ht="15">
      <c r="A15" s="17" t="s">
        <v>0</v>
      </c>
      <c r="B15" s="9" t="s">
        <v>306</v>
      </c>
      <c r="C15" s="19" t="s">
        <v>305</v>
      </c>
      <c r="D15" s="9" t="s">
        <v>304</v>
      </c>
      <c r="E15" s="10">
        <f>E9*1.1/100</f>
        <v>4746752.252448643</v>
      </c>
    </row>
    <row r="16" spans="1:5" ht="15">
      <c r="A16" s="17" t="s">
        <v>0</v>
      </c>
      <c r="B16" s="9" t="s">
        <v>303</v>
      </c>
      <c r="C16" s="19" t="s">
        <v>302</v>
      </c>
      <c r="D16" s="9" t="s">
        <v>301</v>
      </c>
      <c r="E16" s="10">
        <f>E9*2.5/100</f>
        <v>10788073.30101964</v>
      </c>
    </row>
    <row r="17" spans="1:5" ht="15">
      <c r="A17" s="17" t="s">
        <v>0</v>
      </c>
      <c r="B17" s="9" t="s">
        <v>300</v>
      </c>
      <c r="C17" s="19" t="s">
        <v>299</v>
      </c>
      <c r="D17" s="9" t="s">
        <v>298</v>
      </c>
      <c r="E17" s="10">
        <f>(E9+E13)*5.5/100</f>
        <v>26320741.23982772</v>
      </c>
    </row>
    <row r="18" spans="1:5" ht="15.75">
      <c r="A18" s="33" t="s">
        <v>297</v>
      </c>
      <c r="B18" s="27" t="s">
        <v>296</v>
      </c>
      <c r="C18" s="35" t="s">
        <v>295</v>
      </c>
      <c r="D18" s="27" t="s">
        <v>294</v>
      </c>
      <c r="E18" s="28">
        <f>E9+E13+E17</f>
        <v>504879672.8730589</v>
      </c>
    </row>
    <row r="19" spans="1:5" ht="15">
      <c r="A19" s="17" t="s">
        <v>0</v>
      </c>
      <c r="B19" s="9" t="s">
        <v>293</v>
      </c>
      <c r="C19" s="19" t="s">
        <v>292</v>
      </c>
      <c r="D19" s="9" t="s">
        <v>291</v>
      </c>
      <c r="E19" s="10">
        <f>E18*8/100</f>
        <v>40390373.82984471</v>
      </c>
    </row>
    <row r="20" spans="1:5" ht="15.75">
      <c r="A20" s="33" t="s">
        <v>290</v>
      </c>
      <c r="B20" s="27" t="s">
        <v>289</v>
      </c>
      <c r="C20" s="35" t="s">
        <v>288</v>
      </c>
      <c r="D20" s="27" t="s">
        <v>287</v>
      </c>
      <c r="E20" s="28">
        <f>E18+E19</f>
        <v>545270046.7029036</v>
      </c>
    </row>
    <row r="21" spans="1:5" ht="15">
      <c r="A21" s="17" t="s">
        <v>0</v>
      </c>
      <c r="B21" s="9" t="s">
        <v>0</v>
      </c>
      <c r="C21" s="19" t="s">
        <v>0</v>
      </c>
      <c r="D21" s="9" t="s">
        <v>0</v>
      </c>
      <c r="E21" s="10"/>
    </row>
    <row r="22" spans="1:5" ht="15.75">
      <c r="A22" s="33" t="s">
        <v>328</v>
      </c>
      <c r="B22" s="27" t="s">
        <v>67</v>
      </c>
      <c r="C22" s="35" t="s">
        <v>0</v>
      </c>
      <c r="D22" s="27" t="s">
        <v>0</v>
      </c>
      <c r="E22" s="28"/>
    </row>
    <row r="23" spans="1:5" ht="15">
      <c r="A23" s="17" t="s">
        <v>0</v>
      </c>
      <c r="B23" s="9" t="s">
        <v>324</v>
      </c>
      <c r="C23" s="19" t="s">
        <v>323</v>
      </c>
      <c r="D23" s="9" t="s">
        <v>322</v>
      </c>
      <c r="E23" s="10">
        <f>E24+E25+E26</f>
        <v>117447872.00458685</v>
      </c>
    </row>
    <row r="24" spans="1:5" ht="15">
      <c r="A24" s="17" t="s">
        <v>0</v>
      </c>
      <c r="B24" s="9" t="s">
        <v>321</v>
      </c>
      <c r="C24" s="19" t="s">
        <v>320</v>
      </c>
      <c r="D24" s="9" t="s">
        <v>319</v>
      </c>
      <c r="E24" s="10">
        <f>'Du toan chi tiet'!I31</f>
        <v>85759808.29514705</v>
      </c>
    </row>
    <row r="25" spans="1:5" ht="15">
      <c r="A25" s="17" t="s">
        <v>0</v>
      </c>
      <c r="B25" s="9" t="s">
        <v>318</v>
      </c>
      <c r="C25" s="19" t="s">
        <v>317</v>
      </c>
      <c r="D25" s="9" t="s">
        <v>316</v>
      </c>
      <c r="E25" s="10">
        <f>'Du toan chi tiet'!J31</f>
        <v>31303102.738872</v>
      </c>
    </row>
    <row r="26" spans="1:5" ht="15">
      <c r="A26" s="17" t="s">
        <v>0</v>
      </c>
      <c r="B26" s="9" t="s">
        <v>315</v>
      </c>
      <c r="C26" s="19" t="s">
        <v>314</v>
      </c>
      <c r="D26" s="9" t="s">
        <v>313</v>
      </c>
      <c r="E26" s="10">
        <f>'Du toan chi tiet'!K31</f>
        <v>384960.9705678</v>
      </c>
    </row>
    <row r="27" spans="1:5" ht="15">
      <c r="A27" s="17" t="s">
        <v>0</v>
      </c>
      <c r="B27" s="9" t="s">
        <v>312</v>
      </c>
      <c r="C27" s="19" t="s">
        <v>311</v>
      </c>
      <c r="D27" s="9" t="s">
        <v>310</v>
      </c>
      <c r="E27" s="10">
        <f>E28+E29+E30</f>
        <v>12801818.048499966</v>
      </c>
    </row>
    <row r="28" spans="1:5" ht="15">
      <c r="A28" s="17" t="s">
        <v>0</v>
      </c>
      <c r="B28" s="9" t="s">
        <v>309</v>
      </c>
      <c r="C28" s="19" t="s">
        <v>308</v>
      </c>
      <c r="D28" s="9" t="s">
        <v>307</v>
      </c>
      <c r="E28" s="10">
        <f>E23*7.3/100</f>
        <v>8573694.65633484</v>
      </c>
    </row>
    <row r="29" spans="1:5" ht="15">
      <c r="A29" s="17" t="s">
        <v>0</v>
      </c>
      <c r="B29" s="9" t="s">
        <v>306</v>
      </c>
      <c r="C29" s="19" t="s">
        <v>305</v>
      </c>
      <c r="D29" s="9" t="s">
        <v>304</v>
      </c>
      <c r="E29" s="10">
        <f>E23*1.1/100</f>
        <v>1291926.5920504553</v>
      </c>
    </row>
    <row r="30" spans="1:5" ht="15">
      <c r="A30" s="17" t="s">
        <v>0</v>
      </c>
      <c r="B30" s="9" t="s">
        <v>303</v>
      </c>
      <c r="C30" s="19" t="s">
        <v>302</v>
      </c>
      <c r="D30" s="9" t="s">
        <v>301</v>
      </c>
      <c r="E30" s="10">
        <f>E23*2.5/100</f>
        <v>2936196.800114671</v>
      </c>
    </row>
    <row r="31" spans="1:5" ht="15">
      <c r="A31" s="17" t="s">
        <v>0</v>
      </c>
      <c r="B31" s="9" t="s">
        <v>300</v>
      </c>
      <c r="C31" s="19" t="s">
        <v>299</v>
      </c>
      <c r="D31" s="9" t="s">
        <v>298</v>
      </c>
      <c r="E31" s="10">
        <f>(E23+E27)*5.5/100</f>
        <v>7163732.952919776</v>
      </c>
    </row>
    <row r="32" spans="1:5" ht="15.75">
      <c r="A32" s="33" t="s">
        <v>297</v>
      </c>
      <c r="B32" s="27" t="s">
        <v>296</v>
      </c>
      <c r="C32" s="35" t="s">
        <v>295</v>
      </c>
      <c r="D32" s="27" t="s">
        <v>294</v>
      </c>
      <c r="E32" s="28">
        <f>E23+E27+E31</f>
        <v>137413423.0060066</v>
      </c>
    </row>
    <row r="33" spans="1:5" ht="15">
      <c r="A33" s="17" t="s">
        <v>0</v>
      </c>
      <c r="B33" s="9" t="s">
        <v>293</v>
      </c>
      <c r="C33" s="19" t="s">
        <v>292</v>
      </c>
      <c r="D33" s="9" t="s">
        <v>291</v>
      </c>
      <c r="E33" s="10">
        <f>E32*8/100</f>
        <v>10993073.840480529</v>
      </c>
    </row>
    <row r="34" spans="1:5" ht="15.75">
      <c r="A34" s="33" t="s">
        <v>290</v>
      </c>
      <c r="B34" s="27" t="s">
        <v>289</v>
      </c>
      <c r="C34" s="35" t="s">
        <v>288</v>
      </c>
      <c r="D34" s="27" t="s">
        <v>287</v>
      </c>
      <c r="E34" s="28">
        <f>E32+E33</f>
        <v>148406496.84648713</v>
      </c>
    </row>
    <row r="35" spans="1:5" ht="15">
      <c r="A35" s="17" t="s">
        <v>0</v>
      </c>
      <c r="B35" s="9" t="s">
        <v>0</v>
      </c>
      <c r="C35" s="19" t="s">
        <v>0</v>
      </c>
      <c r="D35" s="9" t="s">
        <v>0</v>
      </c>
      <c r="E35" s="10"/>
    </row>
    <row r="36" spans="1:5" ht="15.75">
      <c r="A36" s="33" t="s">
        <v>327</v>
      </c>
      <c r="B36" s="27" t="s">
        <v>129</v>
      </c>
      <c r="C36" s="35" t="s">
        <v>0</v>
      </c>
      <c r="D36" s="27" t="s">
        <v>0</v>
      </c>
      <c r="E36" s="28"/>
    </row>
    <row r="37" spans="1:5" ht="15">
      <c r="A37" s="17" t="s">
        <v>0</v>
      </c>
      <c r="B37" s="9" t="s">
        <v>324</v>
      </c>
      <c r="C37" s="19" t="s">
        <v>323</v>
      </c>
      <c r="D37" s="9" t="s">
        <v>322</v>
      </c>
      <c r="E37" s="10">
        <f>E38+E39+E40</f>
        <v>99154627.28450109</v>
      </c>
    </row>
    <row r="38" spans="1:5" ht="15">
      <c r="A38" s="17" t="s">
        <v>0</v>
      </c>
      <c r="B38" s="9" t="s">
        <v>321</v>
      </c>
      <c r="C38" s="19" t="s">
        <v>320</v>
      </c>
      <c r="D38" s="9" t="s">
        <v>319</v>
      </c>
      <c r="E38" s="10">
        <f>'Du toan chi tiet'!I68</f>
        <v>69538789.23262449</v>
      </c>
    </row>
    <row r="39" spans="1:5" ht="15">
      <c r="A39" s="17" t="s">
        <v>0</v>
      </c>
      <c r="B39" s="9" t="s">
        <v>318</v>
      </c>
      <c r="C39" s="19" t="s">
        <v>317</v>
      </c>
      <c r="D39" s="9" t="s">
        <v>316</v>
      </c>
      <c r="E39" s="10">
        <f>'Du toan chi tiet'!J68</f>
        <v>29308330.126688004</v>
      </c>
    </row>
    <row r="40" spans="1:5" ht="15">
      <c r="A40" s="17" t="s">
        <v>0</v>
      </c>
      <c r="B40" s="9" t="s">
        <v>315</v>
      </c>
      <c r="C40" s="19" t="s">
        <v>314</v>
      </c>
      <c r="D40" s="9" t="s">
        <v>313</v>
      </c>
      <c r="E40" s="10">
        <f>'Du toan chi tiet'!K68</f>
        <v>307507.92518859997</v>
      </c>
    </row>
    <row r="41" spans="1:5" ht="15">
      <c r="A41" s="17" t="s">
        <v>0</v>
      </c>
      <c r="B41" s="9" t="s">
        <v>312</v>
      </c>
      <c r="C41" s="19" t="s">
        <v>311</v>
      </c>
      <c r="D41" s="9" t="s">
        <v>310</v>
      </c>
      <c r="E41" s="10">
        <f>E42+E43+E44</f>
        <v>10807854.374010619</v>
      </c>
    </row>
    <row r="42" spans="1:5" ht="15">
      <c r="A42" s="17" t="s">
        <v>0</v>
      </c>
      <c r="B42" s="9" t="s">
        <v>309</v>
      </c>
      <c r="C42" s="19" t="s">
        <v>308</v>
      </c>
      <c r="D42" s="9" t="s">
        <v>307</v>
      </c>
      <c r="E42" s="10">
        <f>E37*7.3/100</f>
        <v>7238287.79176858</v>
      </c>
    </row>
    <row r="43" spans="1:5" ht="15">
      <c r="A43" s="17" t="s">
        <v>0</v>
      </c>
      <c r="B43" s="9" t="s">
        <v>306</v>
      </c>
      <c r="C43" s="19" t="s">
        <v>305</v>
      </c>
      <c r="D43" s="9" t="s">
        <v>304</v>
      </c>
      <c r="E43" s="10">
        <f>E37*1.1/100</f>
        <v>1090700.9001295122</v>
      </c>
    </row>
    <row r="44" spans="1:5" ht="15">
      <c r="A44" s="17" t="s">
        <v>0</v>
      </c>
      <c r="B44" s="9" t="s">
        <v>303</v>
      </c>
      <c r="C44" s="19" t="s">
        <v>302</v>
      </c>
      <c r="D44" s="9" t="s">
        <v>301</v>
      </c>
      <c r="E44" s="10">
        <f>E37*2.5/100</f>
        <v>2478865.682112527</v>
      </c>
    </row>
    <row r="45" spans="1:5" ht="15">
      <c r="A45" s="17" t="s">
        <v>0</v>
      </c>
      <c r="B45" s="9" t="s">
        <v>300</v>
      </c>
      <c r="C45" s="19" t="s">
        <v>299</v>
      </c>
      <c r="D45" s="9" t="s">
        <v>298</v>
      </c>
      <c r="E45" s="10">
        <f>(E37+E41)*5.5/100</f>
        <v>6047936.491218144</v>
      </c>
    </row>
    <row r="46" spans="1:5" ht="15.75">
      <c r="A46" s="33" t="s">
        <v>297</v>
      </c>
      <c r="B46" s="27" t="s">
        <v>296</v>
      </c>
      <c r="C46" s="35" t="s">
        <v>295</v>
      </c>
      <c r="D46" s="27" t="s">
        <v>294</v>
      </c>
      <c r="E46" s="28">
        <f>E37+E41+E45</f>
        <v>116010418.14972986</v>
      </c>
    </row>
    <row r="47" spans="1:5" ht="15">
      <c r="A47" s="17" t="s">
        <v>0</v>
      </c>
      <c r="B47" s="9" t="s">
        <v>293</v>
      </c>
      <c r="C47" s="19" t="s">
        <v>292</v>
      </c>
      <c r="D47" s="9" t="s">
        <v>291</v>
      </c>
      <c r="E47" s="10">
        <f>E46*8/100</f>
        <v>9280833.45197839</v>
      </c>
    </row>
    <row r="48" spans="1:5" ht="15.75">
      <c r="A48" s="33" t="s">
        <v>290</v>
      </c>
      <c r="B48" s="27" t="s">
        <v>289</v>
      </c>
      <c r="C48" s="35" t="s">
        <v>288</v>
      </c>
      <c r="D48" s="27" t="s">
        <v>287</v>
      </c>
      <c r="E48" s="28">
        <f>E46+E47</f>
        <v>125291251.60170825</v>
      </c>
    </row>
    <row r="49" spans="1:5" ht="15">
      <c r="A49" s="17" t="s">
        <v>0</v>
      </c>
      <c r="B49" s="9" t="s">
        <v>0</v>
      </c>
      <c r="C49" s="19" t="s">
        <v>0</v>
      </c>
      <c r="D49" s="9" t="s">
        <v>0</v>
      </c>
      <c r="E49" s="10"/>
    </row>
    <row r="50" spans="1:5" ht="15.75">
      <c r="A50" s="33" t="s">
        <v>326</v>
      </c>
      <c r="B50" s="27" t="s">
        <v>155</v>
      </c>
      <c r="C50" s="35" t="s">
        <v>0</v>
      </c>
      <c r="D50" s="27" t="s">
        <v>0</v>
      </c>
      <c r="E50" s="28"/>
    </row>
    <row r="51" spans="1:5" ht="15">
      <c r="A51" s="17" t="s">
        <v>0</v>
      </c>
      <c r="B51" s="9" t="s">
        <v>324</v>
      </c>
      <c r="C51" s="19" t="s">
        <v>323</v>
      </c>
      <c r="D51" s="9" t="s">
        <v>322</v>
      </c>
      <c r="E51" s="10">
        <f>E52+E53+E54</f>
        <v>46224958.52065279</v>
      </c>
    </row>
    <row r="52" spans="1:5" ht="15">
      <c r="A52" s="17" t="s">
        <v>0</v>
      </c>
      <c r="B52" s="9" t="s">
        <v>321</v>
      </c>
      <c r="C52" s="19" t="s">
        <v>320</v>
      </c>
      <c r="D52" s="9" t="s">
        <v>319</v>
      </c>
      <c r="E52" s="10">
        <f>'Du toan chi tiet'!I109</f>
        <v>45099570.003404796</v>
      </c>
    </row>
    <row r="53" spans="1:5" ht="15">
      <c r="A53" s="17" t="s">
        <v>0</v>
      </c>
      <c r="B53" s="9" t="s">
        <v>318</v>
      </c>
      <c r="C53" s="19" t="s">
        <v>317</v>
      </c>
      <c r="D53" s="9" t="s">
        <v>316</v>
      </c>
      <c r="E53" s="10">
        <f>'Du toan chi tiet'!J109</f>
        <v>1123138.672</v>
      </c>
    </row>
    <row r="54" spans="1:5" ht="15">
      <c r="A54" s="17" t="s">
        <v>0</v>
      </c>
      <c r="B54" s="9" t="s">
        <v>315</v>
      </c>
      <c r="C54" s="19" t="s">
        <v>314</v>
      </c>
      <c r="D54" s="9" t="s">
        <v>313</v>
      </c>
      <c r="E54" s="10">
        <f>'Du toan chi tiet'!K109</f>
        <v>2249.845248</v>
      </c>
    </row>
    <row r="55" spans="1:5" ht="15">
      <c r="A55" s="17" t="s">
        <v>0</v>
      </c>
      <c r="B55" s="9" t="s">
        <v>312</v>
      </c>
      <c r="C55" s="19" t="s">
        <v>311</v>
      </c>
      <c r="D55" s="9" t="s">
        <v>310</v>
      </c>
      <c r="E55" s="10">
        <f>E56+E57+E58</f>
        <v>5038520.478751155</v>
      </c>
    </row>
    <row r="56" spans="1:5" ht="15">
      <c r="A56" s="17" t="s">
        <v>0</v>
      </c>
      <c r="B56" s="9" t="s">
        <v>309</v>
      </c>
      <c r="C56" s="19" t="s">
        <v>308</v>
      </c>
      <c r="D56" s="9" t="s">
        <v>307</v>
      </c>
      <c r="E56" s="10">
        <f>E51*7.3/100</f>
        <v>3374421.9720076537</v>
      </c>
    </row>
    <row r="57" spans="1:5" ht="15">
      <c r="A57" s="17" t="s">
        <v>0</v>
      </c>
      <c r="B57" s="9" t="s">
        <v>306</v>
      </c>
      <c r="C57" s="19" t="s">
        <v>305</v>
      </c>
      <c r="D57" s="9" t="s">
        <v>304</v>
      </c>
      <c r="E57" s="10">
        <f>E51*1.1/100</f>
        <v>508474.54372718075</v>
      </c>
    </row>
    <row r="58" spans="1:5" ht="15">
      <c r="A58" s="17" t="s">
        <v>0</v>
      </c>
      <c r="B58" s="9" t="s">
        <v>303</v>
      </c>
      <c r="C58" s="19" t="s">
        <v>302</v>
      </c>
      <c r="D58" s="9" t="s">
        <v>301</v>
      </c>
      <c r="E58" s="10">
        <f>E51*2.5/100</f>
        <v>1155623.9630163198</v>
      </c>
    </row>
    <row r="59" spans="1:5" ht="15">
      <c r="A59" s="17" t="s">
        <v>0</v>
      </c>
      <c r="B59" s="9" t="s">
        <v>300</v>
      </c>
      <c r="C59" s="19" t="s">
        <v>299</v>
      </c>
      <c r="D59" s="9" t="s">
        <v>298</v>
      </c>
      <c r="E59" s="10">
        <f>(E51+E55)*5.5/100</f>
        <v>2819491.3449672167</v>
      </c>
    </row>
    <row r="60" spans="1:5" ht="15.75">
      <c r="A60" s="33" t="s">
        <v>297</v>
      </c>
      <c r="B60" s="27" t="s">
        <v>296</v>
      </c>
      <c r="C60" s="35" t="s">
        <v>295</v>
      </c>
      <c r="D60" s="27" t="s">
        <v>294</v>
      </c>
      <c r="E60" s="28">
        <f>E51+E55+E59</f>
        <v>54082970.34437116</v>
      </c>
    </row>
    <row r="61" spans="1:5" ht="15">
      <c r="A61" s="17" t="s">
        <v>0</v>
      </c>
      <c r="B61" s="9" t="s">
        <v>293</v>
      </c>
      <c r="C61" s="19" t="s">
        <v>292</v>
      </c>
      <c r="D61" s="9" t="s">
        <v>291</v>
      </c>
      <c r="E61" s="10">
        <f>E60*8/100</f>
        <v>4326637.627549693</v>
      </c>
    </row>
    <row r="62" spans="1:5" ht="15.75">
      <c r="A62" s="33" t="s">
        <v>290</v>
      </c>
      <c r="B62" s="27" t="s">
        <v>289</v>
      </c>
      <c r="C62" s="35" t="s">
        <v>288</v>
      </c>
      <c r="D62" s="27" t="s">
        <v>287</v>
      </c>
      <c r="E62" s="28">
        <f>E60+E61</f>
        <v>58409607.971920855</v>
      </c>
    </row>
    <row r="63" spans="1:5" ht="15">
      <c r="A63" s="17" t="s">
        <v>0</v>
      </c>
      <c r="B63" s="9" t="s">
        <v>0</v>
      </c>
      <c r="C63" s="19" t="s">
        <v>0</v>
      </c>
      <c r="D63" s="9" t="s">
        <v>0</v>
      </c>
      <c r="E63" s="10"/>
    </row>
    <row r="64" spans="1:5" ht="15.75">
      <c r="A64" s="33" t="s">
        <v>325</v>
      </c>
      <c r="B64" s="27" t="s">
        <v>182</v>
      </c>
      <c r="C64" s="35" t="s">
        <v>0</v>
      </c>
      <c r="D64" s="27" t="s">
        <v>0</v>
      </c>
      <c r="E64" s="28"/>
    </row>
    <row r="65" spans="1:5" ht="15">
      <c r="A65" s="17" t="s">
        <v>0</v>
      </c>
      <c r="B65" s="9" t="s">
        <v>324</v>
      </c>
      <c r="C65" s="19" t="s">
        <v>323</v>
      </c>
      <c r="D65" s="9" t="s">
        <v>322</v>
      </c>
      <c r="E65" s="10">
        <f>E66+E67+E68</f>
        <v>13225182.26765536</v>
      </c>
    </row>
    <row r="66" spans="1:5" ht="15">
      <c r="A66" s="17" t="s">
        <v>0</v>
      </c>
      <c r="B66" s="9" t="s">
        <v>321</v>
      </c>
      <c r="C66" s="19" t="s">
        <v>320</v>
      </c>
      <c r="D66" s="9" t="s">
        <v>319</v>
      </c>
      <c r="E66" s="10">
        <f>'Du toan chi tiet'!I127</f>
        <v>7956420.464211801</v>
      </c>
    </row>
    <row r="67" spans="1:5" ht="15">
      <c r="A67" s="17" t="s">
        <v>0</v>
      </c>
      <c r="B67" s="9" t="s">
        <v>318</v>
      </c>
      <c r="C67" s="19" t="s">
        <v>317</v>
      </c>
      <c r="D67" s="9" t="s">
        <v>316</v>
      </c>
      <c r="E67" s="10">
        <f>'Du toan chi tiet'!J127</f>
        <v>4911752.3691</v>
      </c>
    </row>
    <row r="68" spans="1:5" ht="15">
      <c r="A68" s="17" t="s">
        <v>0</v>
      </c>
      <c r="B68" s="9" t="s">
        <v>315</v>
      </c>
      <c r="C68" s="19" t="s">
        <v>314</v>
      </c>
      <c r="D68" s="9" t="s">
        <v>313</v>
      </c>
      <c r="E68" s="10">
        <f>'Du toan chi tiet'!K127</f>
        <v>357009.43434355996</v>
      </c>
    </row>
    <row r="69" spans="1:5" ht="15">
      <c r="A69" s="17" t="s">
        <v>0</v>
      </c>
      <c r="B69" s="9" t="s">
        <v>312</v>
      </c>
      <c r="C69" s="19" t="s">
        <v>311</v>
      </c>
      <c r="D69" s="9" t="s">
        <v>310</v>
      </c>
      <c r="E69" s="10">
        <f>E70+E71+E72</f>
        <v>1441544.867174434</v>
      </c>
    </row>
    <row r="70" spans="1:5" ht="15">
      <c r="A70" s="17" t="s">
        <v>0</v>
      </c>
      <c r="B70" s="9" t="s">
        <v>309</v>
      </c>
      <c r="C70" s="19" t="s">
        <v>308</v>
      </c>
      <c r="D70" s="9" t="s">
        <v>307</v>
      </c>
      <c r="E70" s="10">
        <f>E65*7.3/100</f>
        <v>965438.3055388412</v>
      </c>
    </row>
    <row r="71" spans="1:5" ht="15">
      <c r="A71" s="17" t="s">
        <v>0</v>
      </c>
      <c r="B71" s="9" t="s">
        <v>306</v>
      </c>
      <c r="C71" s="19" t="s">
        <v>305</v>
      </c>
      <c r="D71" s="9" t="s">
        <v>304</v>
      </c>
      <c r="E71" s="10">
        <f>E65*1.1/100</f>
        <v>145477.00494420898</v>
      </c>
    </row>
    <row r="72" spans="1:5" ht="15">
      <c r="A72" s="17" t="s">
        <v>0</v>
      </c>
      <c r="B72" s="9" t="s">
        <v>303</v>
      </c>
      <c r="C72" s="19" t="s">
        <v>302</v>
      </c>
      <c r="D72" s="9" t="s">
        <v>301</v>
      </c>
      <c r="E72" s="10">
        <f>E65*2.5/100</f>
        <v>330629.556691384</v>
      </c>
    </row>
    <row r="73" spans="1:5" ht="15">
      <c r="A73" s="17" t="s">
        <v>0</v>
      </c>
      <c r="B73" s="9" t="s">
        <v>300</v>
      </c>
      <c r="C73" s="19" t="s">
        <v>299</v>
      </c>
      <c r="D73" s="9" t="s">
        <v>298</v>
      </c>
      <c r="E73" s="10">
        <f>(E65+E69)*5.5/100</f>
        <v>806669.9924156385</v>
      </c>
    </row>
    <row r="74" spans="1:5" ht="15.75">
      <c r="A74" s="33" t="s">
        <v>297</v>
      </c>
      <c r="B74" s="27" t="s">
        <v>296</v>
      </c>
      <c r="C74" s="35" t="s">
        <v>295</v>
      </c>
      <c r="D74" s="27" t="s">
        <v>294</v>
      </c>
      <c r="E74" s="28">
        <f>E65+E69+E73</f>
        <v>15473397.127245432</v>
      </c>
    </row>
    <row r="75" spans="1:5" ht="15">
      <c r="A75" s="17" t="s">
        <v>0</v>
      </c>
      <c r="B75" s="9" t="s">
        <v>293</v>
      </c>
      <c r="C75" s="19" t="s">
        <v>292</v>
      </c>
      <c r="D75" s="9" t="s">
        <v>291</v>
      </c>
      <c r="E75" s="10">
        <f>E74*8/100</f>
        <v>1237871.7701796344</v>
      </c>
    </row>
    <row r="76" spans="1:5" ht="15.75">
      <c r="A76" s="33" t="s">
        <v>290</v>
      </c>
      <c r="B76" s="27" t="s">
        <v>289</v>
      </c>
      <c r="C76" s="35" t="s">
        <v>288</v>
      </c>
      <c r="D76" s="27" t="s">
        <v>287</v>
      </c>
      <c r="E76" s="28">
        <f>E74+E75</f>
        <v>16711268.897425067</v>
      </c>
    </row>
    <row r="77" spans="1:5" ht="15.75" thickBot="1">
      <c r="A77" s="18" t="s">
        <v>0</v>
      </c>
      <c r="B77" s="12" t="s">
        <v>0</v>
      </c>
      <c r="C77" s="20" t="s">
        <v>0</v>
      </c>
      <c r="D77" s="12" t="s">
        <v>0</v>
      </c>
      <c r="E77" s="13"/>
    </row>
    <row r="79" spans="4:5" ht="15">
      <c r="D79" s="263"/>
      <c r="E79" s="263"/>
    </row>
    <row r="80" spans="4:5" ht="15.75">
      <c r="D80" s="258"/>
      <c r="E80" s="258"/>
    </row>
    <row r="81" spans="4:5" ht="15.75">
      <c r="D81" s="258"/>
      <c r="E81" s="258"/>
    </row>
  </sheetData>
  <sheetProtection/>
  <mergeCells count="7">
    <mergeCell ref="D81:E81"/>
    <mergeCell ref="A1:E1"/>
    <mergeCell ref="A3:E3"/>
    <mergeCell ref="A4:E4"/>
    <mergeCell ref="A5:E5"/>
    <mergeCell ref="D79:E79"/>
    <mergeCell ref="D80:E80"/>
  </mergeCells>
  <printOptions horizontalCentered="1"/>
  <pageMargins left="0.5" right="0.3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0"/>
  <sheetViews>
    <sheetView showZeros="0" zoomScalePageLayoutView="0" workbookViewId="0" topLeftCell="A5">
      <selection activeCell="F64" sqref="F64"/>
    </sheetView>
  </sheetViews>
  <sheetFormatPr defaultColWidth="8.796875" defaultRowHeight="15"/>
  <cols>
    <col min="1" max="1" width="3.3984375" style="37" customWidth="1"/>
    <col min="2" max="2" width="8.8984375" style="37" customWidth="1"/>
    <col min="3" max="3" width="37.69921875" style="37" bestFit="1" customWidth="1"/>
    <col min="4" max="4" width="4.8984375" style="37" customWidth="1"/>
    <col min="5" max="5" width="9.69921875" style="51" customWidth="1"/>
    <col min="6" max="6" width="11.19921875" style="38" customWidth="1"/>
    <col min="7" max="7" width="10" style="38" customWidth="1"/>
    <col min="8" max="8" width="10.09765625" style="38" customWidth="1"/>
    <col min="9" max="9" width="12.59765625" style="39" customWidth="1"/>
    <col min="10" max="10" width="11.69921875" style="39" customWidth="1"/>
    <col min="11" max="11" width="12" style="39" customWidth="1"/>
    <col min="12" max="16384" width="9" style="37" customWidth="1"/>
  </cols>
  <sheetData>
    <row r="1" spans="1:11" ht="21" customHeight="1">
      <c r="A1" s="262" t="s">
        <v>486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4.25">
      <c r="A2" s="40"/>
      <c r="B2" s="40"/>
      <c r="C2" s="40"/>
      <c r="D2" s="40"/>
      <c r="E2" s="53"/>
      <c r="F2" s="41"/>
      <c r="G2" s="41"/>
      <c r="H2" s="41"/>
      <c r="I2" s="42"/>
      <c r="J2" s="42"/>
      <c r="K2" s="42"/>
    </row>
    <row r="3" spans="1:11" s="25" customFormat="1" ht="16.5" customHeight="1">
      <c r="A3" s="261" t="s">
        <v>478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s="25" customFormat="1" ht="16.5" customHeight="1">
      <c r="A4" s="261" t="s">
        <v>479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1" s="25" customFormat="1" ht="16.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ht="15" thickBot="1">
      <c r="A6" s="40"/>
      <c r="B6" s="40"/>
      <c r="C6" s="40"/>
      <c r="D6" s="40"/>
      <c r="E6" s="53"/>
      <c r="F6" s="41"/>
      <c r="G6" s="41"/>
      <c r="H6" s="41"/>
      <c r="I6" s="42"/>
      <c r="J6" s="42"/>
      <c r="K6" s="42"/>
    </row>
    <row r="7" spans="1:11" ht="22.5" customHeight="1">
      <c r="A7" s="273" t="s">
        <v>302</v>
      </c>
      <c r="B7" s="264" t="s">
        <v>488</v>
      </c>
      <c r="C7" s="266" t="s">
        <v>489</v>
      </c>
      <c r="D7" s="264" t="s">
        <v>490</v>
      </c>
      <c r="E7" s="267" t="s">
        <v>491</v>
      </c>
      <c r="F7" s="268" t="s">
        <v>487</v>
      </c>
      <c r="G7" s="269"/>
      <c r="H7" s="270"/>
      <c r="I7" s="271" t="s">
        <v>485</v>
      </c>
      <c r="J7" s="269"/>
      <c r="K7" s="272"/>
    </row>
    <row r="8" spans="1:11" ht="22.5" customHeight="1">
      <c r="A8" s="274"/>
      <c r="B8" s="265"/>
      <c r="C8" s="265"/>
      <c r="D8" s="265"/>
      <c r="E8" s="265"/>
      <c r="F8" s="183" t="s">
        <v>492</v>
      </c>
      <c r="G8" s="183" t="s">
        <v>493</v>
      </c>
      <c r="H8" s="183" t="s">
        <v>494</v>
      </c>
      <c r="I8" s="184" t="s">
        <v>492</v>
      </c>
      <c r="J8" s="184" t="s">
        <v>493</v>
      </c>
      <c r="K8" s="185" t="s">
        <v>495</v>
      </c>
    </row>
    <row r="9" spans="1:11" ht="14.25">
      <c r="A9" s="186" t="s">
        <v>2</v>
      </c>
      <c r="B9" s="187" t="s">
        <v>0</v>
      </c>
      <c r="C9" s="187" t="s">
        <v>1</v>
      </c>
      <c r="D9" s="187" t="s">
        <v>0</v>
      </c>
      <c r="E9" s="188"/>
      <c r="F9" s="189"/>
      <c r="G9" s="189"/>
      <c r="H9" s="189"/>
      <c r="I9" s="190">
        <f>SUM(I10:I30)</f>
        <v>298076782.8444768</v>
      </c>
      <c r="J9" s="190">
        <f>SUM(J10:J30)</f>
        <v>130873278.9881504</v>
      </c>
      <c r="K9" s="191">
        <f>SUM(K10:K30)</f>
        <v>2572870.2081584</v>
      </c>
    </row>
    <row r="10" spans="1:11" ht="14.25">
      <c r="A10" s="192" t="s">
        <v>0</v>
      </c>
      <c r="B10" s="193" t="s">
        <v>0</v>
      </c>
      <c r="C10" s="193" t="s">
        <v>0</v>
      </c>
      <c r="D10" s="193" t="s">
        <v>0</v>
      </c>
      <c r="E10" s="194"/>
      <c r="F10" s="182"/>
      <c r="G10" s="182"/>
      <c r="H10" s="182"/>
      <c r="I10" s="195"/>
      <c r="J10" s="195"/>
      <c r="K10" s="196"/>
    </row>
    <row r="11" spans="1:11" ht="14.25">
      <c r="A11" s="192" t="s">
        <v>0</v>
      </c>
      <c r="B11" s="193" t="s">
        <v>0</v>
      </c>
      <c r="C11" s="193" t="s">
        <v>385</v>
      </c>
      <c r="D11" s="193" t="s">
        <v>0</v>
      </c>
      <c r="E11" s="194"/>
      <c r="F11" s="182"/>
      <c r="G11" s="182"/>
      <c r="H11" s="182"/>
      <c r="I11" s="195"/>
      <c r="J11" s="195"/>
      <c r="K11" s="196"/>
    </row>
    <row r="12" spans="1:11" ht="14.25">
      <c r="A12" s="192" t="s">
        <v>369</v>
      </c>
      <c r="B12" s="193" t="s">
        <v>3</v>
      </c>
      <c r="C12" s="193" t="s">
        <v>4</v>
      </c>
      <c r="D12" s="193" t="s">
        <v>5</v>
      </c>
      <c r="E12" s="194">
        <f>2150</f>
        <v>2150</v>
      </c>
      <c r="F12" s="182">
        <f>'Phan tich don gia'!G9</f>
        <v>20587.37135</v>
      </c>
      <c r="G12" s="182">
        <f>'Phan tich don gia'!G13</f>
        <v>18616.3396</v>
      </c>
      <c r="H12" s="182">
        <f>'Phan tich don gia'!G15</f>
        <v>1171.7944</v>
      </c>
      <c r="I12" s="195">
        <f>E12*F12</f>
        <v>44262848.4025</v>
      </c>
      <c r="J12" s="195">
        <f>E12*G12</f>
        <v>40025130.14</v>
      </c>
      <c r="K12" s="196">
        <f>E12*H12</f>
        <v>2519357.96</v>
      </c>
    </row>
    <row r="13" spans="1:11" ht="14.25">
      <c r="A13" s="192" t="s">
        <v>0</v>
      </c>
      <c r="B13" s="193" t="s">
        <v>0</v>
      </c>
      <c r="C13" s="193" t="s">
        <v>0</v>
      </c>
      <c r="D13" s="193" t="s">
        <v>0</v>
      </c>
      <c r="E13" s="194"/>
      <c r="F13" s="182"/>
      <c r="G13" s="182"/>
      <c r="H13" s="182"/>
      <c r="I13" s="195"/>
      <c r="J13" s="195"/>
      <c r="K13" s="196"/>
    </row>
    <row r="14" spans="1:11" ht="14.25">
      <c r="A14" s="192" t="s">
        <v>384</v>
      </c>
      <c r="B14" s="193" t="s">
        <v>16</v>
      </c>
      <c r="C14" s="193" t="s">
        <v>17</v>
      </c>
      <c r="D14" s="193" t="s">
        <v>5</v>
      </c>
      <c r="E14" s="194">
        <f>2150</f>
        <v>2150</v>
      </c>
      <c r="F14" s="182">
        <f>'Phan tich don gia'!G19</f>
        <v>116666.46223</v>
      </c>
      <c r="G14" s="182">
        <f>'Phan tich don gia'!G25</f>
        <v>41065.455</v>
      </c>
      <c r="H14" s="182"/>
      <c r="I14" s="195">
        <f>E14*F14</f>
        <v>250832893.79450002</v>
      </c>
      <c r="J14" s="195">
        <f>E14*G14</f>
        <v>88290728.25</v>
      </c>
      <c r="K14" s="196">
        <f>E14*H14</f>
        <v>0</v>
      </c>
    </row>
    <row r="15" spans="1:11" ht="14.25">
      <c r="A15" s="192" t="s">
        <v>0</v>
      </c>
      <c r="B15" s="193" t="s">
        <v>0</v>
      </c>
      <c r="C15" s="193" t="s">
        <v>0</v>
      </c>
      <c r="D15" s="193" t="s">
        <v>0</v>
      </c>
      <c r="E15" s="194"/>
      <c r="F15" s="182"/>
      <c r="G15" s="182"/>
      <c r="H15" s="182"/>
      <c r="I15" s="195"/>
      <c r="J15" s="195"/>
      <c r="K15" s="196"/>
    </row>
    <row r="16" spans="1:11" ht="14.25">
      <c r="A16" s="192" t="s">
        <v>383</v>
      </c>
      <c r="B16" s="193" t="s">
        <v>22</v>
      </c>
      <c r="C16" s="193" t="s">
        <v>23</v>
      </c>
      <c r="D16" s="193" t="s">
        <v>24</v>
      </c>
      <c r="E16" s="194">
        <f>1.44</f>
        <v>1.44</v>
      </c>
      <c r="F16" s="182"/>
      <c r="G16" s="182">
        <f>'Phan tich don gia'!G29</f>
        <v>260085.448</v>
      </c>
      <c r="H16" s="182"/>
      <c r="I16" s="195">
        <f>E16*F16</f>
        <v>0</v>
      </c>
      <c r="J16" s="195">
        <f>E16*G16</f>
        <v>374523.04511999997</v>
      </c>
      <c r="K16" s="196">
        <f>E16*H16</f>
        <v>0</v>
      </c>
    </row>
    <row r="17" spans="1:11" ht="14.25">
      <c r="A17" s="192" t="s">
        <v>0</v>
      </c>
      <c r="B17" s="193" t="s">
        <v>0</v>
      </c>
      <c r="C17" s="193" t="s">
        <v>0</v>
      </c>
      <c r="D17" s="193" t="s">
        <v>0</v>
      </c>
      <c r="E17" s="194"/>
      <c r="F17" s="182"/>
      <c r="G17" s="182"/>
      <c r="H17" s="182"/>
      <c r="I17" s="195"/>
      <c r="J17" s="195"/>
      <c r="K17" s="196"/>
    </row>
    <row r="18" spans="1:11" ht="14.25">
      <c r="A18" s="192" t="s">
        <v>353</v>
      </c>
      <c r="B18" s="193" t="s">
        <v>27</v>
      </c>
      <c r="C18" s="193" t="s">
        <v>28</v>
      </c>
      <c r="D18" s="193" t="s">
        <v>24</v>
      </c>
      <c r="E18" s="194">
        <f>0.48</f>
        <v>0.48</v>
      </c>
      <c r="F18" s="182"/>
      <c r="G18" s="182">
        <f>'Phan tich don gia'!G34</f>
        <v>13528.81448</v>
      </c>
      <c r="H18" s="182">
        <f>'Phan tich don gia'!G36</f>
        <v>14494.76181</v>
      </c>
      <c r="I18" s="195">
        <f>E18*F18</f>
        <v>0</v>
      </c>
      <c r="J18" s="195">
        <f>E18*G18</f>
        <v>6493.830950399999</v>
      </c>
      <c r="K18" s="196">
        <f>E18*H18</f>
        <v>6957.4856688</v>
      </c>
    </row>
    <row r="19" spans="1:11" ht="14.25">
      <c r="A19" s="192" t="s">
        <v>0</v>
      </c>
      <c r="B19" s="193" t="s">
        <v>0</v>
      </c>
      <c r="C19" s="193" t="s">
        <v>29</v>
      </c>
      <c r="D19" s="193" t="s">
        <v>0</v>
      </c>
      <c r="E19" s="194"/>
      <c r="F19" s="182"/>
      <c r="G19" s="182"/>
      <c r="H19" s="182"/>
      <c r="I19" s="195"/>
      <c r="J19" s="195"/>
      <c r="K19" s="196"/>
    </row>
    <row r="20" spans="1:11" ht="14.25">
      <c r="A20" s="192" t="s">
        <v>382</v>
      </c>
      <c r="B20" s="193" t="s">
        <v>32</v>
      </c>
      <c r="C20" s="193" t="s">
        <v>33</v>
      </c>
      <c r="D20" s="193" t="s">
        <v>5</v>
      </c>
      <c r="E20" s="194">
        <f>2.4</f>
        <v>2.4</v>
      </c>
      <c r="F20" s="182">
        <f>'Phan tich don gia'!G40</f>
        <v>57786.92044</v>
      </c>
      <c r="G20" s="182">
        <f>'Phan tich don gia'!G46</f>
        <v>74903.4</v>
      </c>
      <c r="H20" s="182"/>
      <c r="I20" s="195">
        <f>E20*F20</f>
        <v>138688.609056</v>
      </c>
      <c r="J20" s="195">
        <f>E20*G20</f>
        <v>179768.15999999997</v>
      </c>
      <c r="K20" s="196">
        <f>E20*H20</f>
        <v>0</v>
      </c>
    </row>
    <row r="21" spans="1:11" ht="14.25">
      <c r="A21" s="192" t="s">
        <v>0</v>
      </c>
      <c r="B21" s="193" t="s">
        <v>0</v>
      </c>
      <c r="C21" s="193" t="s">
        <v>0</v>
      </c>
      <c r="D21" s="193" t="s">
        <v>0</v>
      </c>
      <c r="E21" s="194"/>
      <c r="F21" s="182"/>
      <c r="G21" s="182"/>
      <c r="H21" s="182"/>
      <c r="I21" s="195"/>
      <c r="J21" s="195"/>
      <c r="K21" s="196"/>
    </row>
    <row r="22" spans="1:11" ht="14.25">
      <c r="A22" s="192" t="s">
        <v>351</v>
      </c>
      <c r="B22" s="193" t="s">
        <v>40</v>
      </c>
      <c r="C22" s="193" t="s">
        <v>41</v>
      </c>
      <c r="D22" s="193" t="s">
        <v>24</v>
      </c>
      <c r="E22" s="194">
        <f>0.48</f>
        <v>0.48</v>
      </c>
      <c r="F22" s="182">
        <f>'Phan tich don gia'!G51</f>
        <v>786715.4784</v>
      </c>
      <c r="G22" s="182">
        <f>'Phan tich don gia'!G56</f>
        <v>246774.421</v>
      </c>
      <c r="H22" s="182">
        <f>'Phan tich don gia'!G58</f>
        <v>54409.0095</v>
      </c>
      <c r="I22" s="195">
        <f>E22*F22</f>
        <v>377623.429632</v>
      </c>
      <c r="J22" s="195">
        <f>E22*G22</f>
        <v>118451.72207999999</v>
      </c>
      <c r="K22" s="196">
        <f>E22*H22</f>
        <v>26116.324559999997</v>
      </c>
    </row>
    <row r="23" spans="1:11" ht="14.25">
      <c r="A23" s="192" t="s">
        <v>0</v>
      </c>
      <c r="B23" s="193" t="s">
        <v>0</v>
      </c>
      <c r="C23" s="193" t="s">
        <v>42</v>
      </c>
      <c r="D23" s="193" t="s">
        <v>0</v>
      </c>
      <c r="E23" s="194"/>
      <c r="F23" s="182"/>
      <c r="G23" s="182"/>
      <c r="H23" s="182"/>
      <c r="I23" s="195"/>
      <c r="J23" s="195"/>
      <c r="K23" s="196"/>
    </row>
    <row r="24" spans="1:11" ht="14.25">
      <c r="A24" s="192" t="s">
        <v>346</v>
      </c>
      <c r="B24" s="193" t="s">
        <v>50</v>
      </c>
      <c r="C24" s="193" t="s">
        <v>51</v>
      </c>
      <c r="D24" s="193" t="s">
        <v>24</v>
      </c>
      <c r="E24" s="194">
        <f>0.96</f>
        <v>0.96</v>
      </c>
      <c r="F24" s="182">
        <f>'Phan tich don gia'!G64</f>
        <v>1344972.29353</v>
      </c>
      <c r="G24" s="182">
        <f>'Phan tich don gia'!G70</f>
        <v>622934</v>
      </c>
      <c r="H24" s="182">
        <f>'Phan tich don gia'!G72</f>
        <v>10304.46701</v>
      </c>
      <c r="I24" s="195">
        <f>E24*F24</f>
        <v>1291173.4017887998</v>
      </c>
      <c r="J24" s="195">
        <f>E24*G24</f>
        <v>598016.64</v>
      </c>
      <c r="K24" s="196">
        <f>E24*H24</f>
        <v>9892.2883296</v>
      </c>
    </row>
    <row r="25" spans="1:11" ht="14.25">
      <c r="A25" s="192" t="s">
        <v>0</v>
      </c>
      <c r="B25" s="193" t="s">
        <v>0</v>
      </c>
      <c r="C25" s="193" t="s">
        <v>52</v>
      </c>
      <c r="D25" s="193" t="s">
        <v>0</v>
      </c>
      <c r="E25" s="194"/>
      <c r="F25" s="182"/>
      <c r="G25" s="182"/>
      <c r="H25" s="182"/>
      <c r="I25" s="195"/>
      <c r="J25" s="195"/>
      <c r="K25" s="196"/>
    </row>
    <row r="26" spans="1:11" ht="14.25">
      <c r="A26" s="192" t="s">
        <v>381</v>
      </c>
      <c r="B26" s="193" t="s">
        <v>57</v>
      </c>
      <c r="C26" s="193" t="s">
        <v>58</v>
      </c>
      <c r="D26" s="193" t="s">
        <v>5</v>
      </c>
      <c r="E26" s="194">
        <f>12</f>
        <v>12</v>
      </c>
      <c r="F26" s="182">
        <f>'Phan tich don gia'!G77</f>
        <v>19035.08355</v>
      </c>
      <c r="G26" s="182">
        <f>'Phan tich don gia'!G82</f>
        <v>88270</v>
      </c>
      <c r="H26" s="182">
        <f>'Phan tich don gia'!G84</f>
        <v>878.8458</v>
      </c>
      <c r="I26" s="195">
        <f>E26*F26</f>
        <v>228421.0026</v>
      </c>
      <c r="J26" s="195">
        <f>E26*G26</f>
        <v>1059240</v>
      </c>
      <c r="K26" s="196">
        <f>E26*H26</f>
        <v>10546.1496</v>
      </c>
    </row>
    <row r="27" spans="1:11" ht="14.25">
      <c r="A27" s="192" t="s">
        <v>0</v>
      </c>
      <c r="B27" s="193" t="s">
        <v>0</v>
      </c>
      <c r="C27" s="193" t="s">
        <v>0</v>
      </c>
      <c r="D27" s="193" t="s">
        <v>0</v>
      </c>
      <c r="E27" s="194"/>
      <c r="F27" s="182"/>
      <c r="G27" s="182"/>
      <c r="H27" s="182"/>
      <c r="I27" s="195"/>
      <c r="J27" s="195"/>
      <c r="K27" s="196"/>
    </row>
    <row r="28" spans="1:11" ht="14.25">
      <c r="A28" s="192" t="s">
        <v>374</v>
      </c>
      <c r="B28" s="193" t="s">
        <v>60</v>
      </c>
      <c r="C28" s="193" t="s">
        <v>61</v>
      </c>
      <c r="D28" s="193" t="s">
        <v>62</v>
      </c>
      <c r="E28" s="194">
        <f>12</f>
        <v>12</v>
      </c>
      <c r="F28" s="182">
        <f>'Phan tich don gia'!G89</f>
        <v>78761.1837</v>
      </c>
      <c r="G28" s="182">
        <f>'Phan tich don gia'!G93</f>
        <v>18410.6</v>
      </c>
      <c r="H28" s="182"/>
      <c r="I28" s="195">
        <f>E28*F28</f>
        <v>945134.2043999999</v>
      </c>
      <c r="J28" s="195">
        <f>E28*G28</f>
        <v>220927.19999999998</v>
      </c>
      <c r="K28" s="196">
        <f>E28*H28</f>
        <v>0</v>
      </c>
    </row>
    <row r="29" spans="1:11" ht="14.25">
      <c r="A29" s="192" t="s">
        <v>0</v>
      </c>
      <c r="B29" s="193" t="s">
        <v>0</v>
      </c>
      <c r="C29" s="193" t="s">
        <v>63</v>
      </c>
      <c r="D29" s="193" t="s">
        <v>0</v>
      </c>
      <c r="E29" s="194"/>
      <c r="F29" s="182"/>
      <c r="G29" s="182"/>
      <c r="H29" s="182"/>
      <c r="I29" s="195"/>
      <c r="J29" s="195"/>
      <c r="K29" s="196"/>
    </row>
    <row r="30" spans="1:11" ht="14.25">
      <c r="A30" s="192" t="s">
        <v>0</v>
      </c>
      <c r="B30" s="193" t="s">
        <v>0</v>
      </c>
      <c r="C30" s="193" t="s">
        <v>0</v>
      </c>
      <c r="D30" s="193" t="s">
        <v>0</v>
      </c>
      <c r="E30" s="194"/>
      <c r="F30" s="182"/>
      <c r="G30" s="182"/>
      <c r="H30" s="182"/>
      <c r="I30" s="195"/>
      <c r="J30" s="195"/>
      <c r="K30" s="196"/>
    </row>
    <row r="31" spans="1:11" ht="14.25">
      <c r="A31" s="197" t="s">
        <v>15</v>
      </c>
      <c r="B31" s="198" t="s">
        <v>0</v>
      </c>
      <c r="C31" s="198" t="s">
        <v>67</v>
      </c>
      <c r="D31" s="198" t="s">
        <v>0</v>
      </c>
      <c r="E31" s="199"/>
      <c r="F31" s="200"/>
      <c r="G31" s="200"/>
      <c r="H31" s="200"/>
      <c r="I31" s="201">
        <f>SUM(I32:I67)</f>
        <v>85759808.29514705</v>
      </c>
      <c r="J31" s="201">
        <f>SUM(J32:J67)</f>
        <v>31303102.738872</v>
      </c>
      <c r="K31" s="202">
        <f>SUM(K32:K67)</f>
        <v>384960.9705678</v>
      </c>
    </row>
    <row r="32" spans="1:11" ht="14.25">
      <c r="A32" s="192" t="s">
        <v>0</v>
      </c>
      <c r="B32" s="193" t="s">
        <v>0</v>
      </c>
      <c r="C32" s="193" t="s">
        <v>0</v>
      </c>
      <c r="D32" s="193" t="s">
        <v>0</v>
      </c>
      <c r="E32" s="194"/>
      <c r="F32" s="182"/>
      <c r="G32" s="182"/>
      <c r="H32" s="182"/>
      <c r="I32" s="195"/>
      <c r="J32" s="195"/>
      <c r="K32" s="196"/>
    </row>
    <row r="33" spans="1:11" ht="14.25">
      <c r="A33" s="192" t="s">
        <v>0</v>
      </c>
      <c r="B33" s="193" t="s">
        <v>0</v>
      </c>
      <c r="C33" s="193" t="s">
        <v>380</v>
      </c>
      <c r="D33" s="193" t="s">
        <v>0</v>
      </c>
      <c r="E33" s="194"/>
      <c r="F33" s="182"/>
      <c r="G33" s="182"/>
      <c r="H33" s="182"/>
      <c r="I33" s="195"/>
      <c r="J33" s="195"/>
      <c r="K33" s="196"/>
    </row>
    <row r="34" spans="1:11" ht="14.25">
      <c r="A34" s="192" t="s">
        <v>379</v>
      </c>
      <c r="B34" s="193" t="s">
        <v>69</v>
      </c>
      <c r="C34" s="193" t="s">
        <v>70</v>
      </c>
      <c r="D34" s="193" t="s">
        <v>19</v>
      </c>
      <c r="E34" s="194">
        <f>222.925</f>
        <v>222.925</v>
      </c>
      <c r="F34" s="182"/>
      <c r="G34" s="182">
        <f>'Phan tich don gia'!G97</f>
        <v>13113.552</v>
      </c>
      <c r="H34" s="182"/>
      <c r="I34" s="195">
        <f>E34*F34</f>
        <v>0</v>
      </c>
      <c r="J34" s="195">
        <f>E34*G34</f>
        <v>2923338.5796000003</v>
      </c>
      <c r="K34" s="196">
        <f>E34*H34</f>
        <v>0</v>
      </c>
    </row>
    <row r="35" spans="1:11" ht="14.25">
      <c r="A35" s="192" t="s">
        <v>0</v>
      </c>
      <c r="B35" s="193" t="s">
        <v>0</v>
      </c>
      <c r="C35" s="193" t="s">
        <v>0</v>
      </c>
      <c r="D35" s="193" t="s">
        <v>0</v>
      </c>
      <c r="E35" s="194"/>
      <c r="F35" s="182"/>
      <c r="G35" s="182"/>
      <c r="H35" s="182"/>
      <c r="I35" s="195"/>
      <c r="J35" s="195"/>
      <c r="K35" s="196"/>
    </row>
    <row r="36" spans="1:11" ht="14.25">
      <c r="A36" s="192" t="s">
        <v>378</v>
      </c>
      <c r="B36" s="193" t="s">
        <v>72</v>
      </c>
      <c r="C36" s="193" t="s">
        <v>73</v>
      </c>
      <c r="D36" s="193" t="s">
        <v>19</v>
      </c>
      <c r="E36" s="194">
        <f>71.36</f>
        <v>71.36</v>
      </c>
      <c r="F36" s="182"/>
      <c r="G36" s="182">
        <f>'Phan tich don gia'!G101</f>
        <v>15299.144</v>
      </c>
      <c r="H36" s="182"/>
      <c r="I36" s="195">
        <f>E36*F36</f>
        <v>0</v>
      </c>
      <c r="J36" s="195">
        <f>E36*G36</f>
        <v>1091746.91584</v>
      </c>
      <c r="K36" s="196">
        <f>E36*H36</f>
        <v>0</v>
      </c>
    </row>
    <row r="37" spans="1:11" ht="14.25">
      <c r="A37" s="192" t="s">
        <v>0</v>
      </c>
      <c r="B37" s="193" t="s">
        <v>0</v>
      </c>
      <c r="C37" s="193" t="s">
        <v>0</v>
      </c>
      <c r="D37" s="193" t="s">
        <v>0</v>
      </c>
      <c r="E37" s="194"/>
      <c r="F37" s="182"/>
      <c r="G37" s="182"/>
      <c r="H37" s="182"/>
      <c r="I37" s="195"/>
      <c r="J37" s="195"/>
      <c r="K37" s="196"/>
    </row>
    <row r="38" spans="1:11" ht="14.25">
      <c r="A38" s="192" t="s">
        <v>377</v>
      </c>
      <c r="B38" s="193" t="s">
        <v>75</v>
      </c>
      <c r="C38" s="193" t="s">
        <v>76</v>
      </c>
      <c r="D38" s="193" t="s">
        <v>5</v>
      </c>
      <c r="E38" s="194">
        <v>66.308</v>
      </c>
      <c r="F38" s="182"/>
      <c r="G38" s="182">
        <f>'Phan tich don gia'!G106</f>
        <v>100380</v>
      </c>
      <c r="H38" s="182"/>
      <c r="I38" s="195">
        <f>E38*F38</f>
        <v>0</v>
      </c>
      <c r="J38" s="195">
        <f>E38*G38</f>
        <v>6655997.040000001</v>
      </c>
      <c r="K38" s="196">
        <f>E38*H38</f>
        <v>0</v>
      </c>
    </row>
    <row r="39" spans="1:11" ht="14.25">
      <c r="A39" s="192" t="s">
        <v>0</v>
      </c>
      <c r="B39" s="193" t="s">
        <v>0</v>
      </c>
      <c r="C39" s="193" t="s">
        <v>77</v>
      </c>
      <c r="D39" s="193" t="s">
        <v>0</v>
      </c>
      <c r="E39" s="194"/>
      <c r="F39" s="182"/>
      <c r="G39" s="182"/>
      <c r="H39" s="182"/>
      <c r="I39" s="195"/>
      <c r="J39" s="195"/>
      <c r="K39" s="196"/>
    </row>
    <row r="40" spans="1:11" ht="14.25">
      <c r="A40" s="192" t="s">
        <v>372</v>
      </c>
      <c r="B40" s="193" t="s">
        <v>80</v>
      </c>
      <c r="C40" s="193" t="s">
        <v>81</v>
      </c>
      <c r="D40" s="193" t="s">
        <v>9</v>
      </c>
      <c r="E40" s="194">
        <f>1.433</f>
        <v>1.433</v>
      </c>
      <c r="F40" s="182"/>
      <c r="G40" s="182">
        <f>'Phan tich don gia'!G110</f>
        <v>59010.984</v>
      </c>
      <c r="H40" s="182"/>
      <c r="I40" s="195">
        <f>E40*F40</f>
        <v>0</v>
      </c>
      <c r="J40" s="195">
        <f>E40*G40</f>
        <v>84562.740072</v>
      </c>
      <c r="K40" s="196">
        <f>E40*H40</f>
        <v>0</v>
      </c>
    </row>
    <row r="41" spans="1:11" ht="14.25">
      <c r="A41" s="192" t="s">
        <v>0</v>
      </c>
      <c r="B41" s="193" t="s">
        <v>0</v>
      </c>
      <c r="C41" s="193" t="s">
        <v>0</v>
      </c>
      <c r="D41" s="193" t="s">
        <v>0</v>
      </c>
      <c r="E41" s="194"/>
      <c r="F41" s="182"/>
      <c r="G41" s="182"/>
      <c r="H41" s="182"/>
      <c r="I41" s="195"/>
      <c r="J41" s="195"/>
      <c r="K41" s="196"/>
    </row>
    <row r="42" spans="1:11" ht="14.25">
      <c r="A42" s="192" t="s">
        <v>371</v>
      </c>
      <c r="B42" s="193" t="s">
        <v>83</v>
      </c>
      <c r="C42" s="193" t="s">
        <v>84</v>
      </c>
      <c r="D42" s="193" t="s">
        <v>9</v>
      </c>
      <c r="E42" s="194">
        <f>1.433</f>
        <v>1.433</v>
      </c>
      <c r="F42" s="182"/>
      <c r="G42" s="182">
        <f>'Phan tich don gia'!G115</f>
        <v>37155.064</v>
      </c>
      <c r="H42" s="182"/>
      <c r="I42" s="195">
        <f>E42*F42</f>
        <v>0</v>
      </c>
      <c r="J42" s="195">
        <f>E42*G42</f>
        <v>53243.206712</v>
      </c>
      <c r="K42" s="196">
        <f>E42*H42</f>
        <v>0</v>
      </c>
    </row>
    <row r="43" spans="1:11" ht="14.25">
      <c r="A43" s="192" t="s">
        <v>0</v>
      </c>
      <c r="B43" s="193" t="s">
        <v>0</v>
      </c>
      <c r="C43" s="193" t="s">
        <v>85</v>
      </c>
      <c r="D43" s="193" t="s">
        <v>0</v>
      </c>
      <c r="E43" s="194"/>
      <c r="F43" s="182"/>
      <c r="G43" s="182"/>
      <c r="H43" s="182"/>
      <c r="I43" s="195"/>
      <c r="J43" s="195"/>
      <c r="K43" s="196"/>
    </row>
    <row r="44" spans="1:11" ht="14.25">
      <c r="A44" s="192" t="s">
        <v>376</v>
      </c>
      <c r="B44" s="193" t="s">
        <v>87</v>
      </c>
      <c r="C44" s="193" t="s">
        <v>88</v>
      </c>
      <c r="D44" s="193" t="s">
        <v>89</v>
      </c>
      <c r="E44" s="194">
        <f>1.433</f>
        <v>1.433</v>
      </c>
      <c r="F44" s="182"/>
      <c r="G44" s="182"/>
      <c r="H44" s="182">
        <f>'Phan tich don gia'!G119</f>
        <v>10649.364</v>
      </c>
      <c r="I44" s="195">
        <f>E44*F44</f>
        <v>0</v>
      </c>
      <c r="J44" s="195">
        <f>E44*G44</f>
        <v>0</v>
      </c>
      <c r="K44" s="196">
        <f>E44*H44</f>
        <v>15260.538612</v>
      </c>
    </row>
    <row r="45" spans="1:11" ht="14.25">
      <c r="A45" s="192" t="s">
        <v>0</v>
      </c>
      <c r="B45" s="193" t="s">
        <v>0</v>
      </c>
      <c r="C45" s="193" t="s">
        <v>0</v>
      </c>
      <c r="D45" s="193" t="s">
        <v>0</v>
      </c>
      <c r="E45" s="194"/>
      <c r="F45" s="182"/>
      <c r="G45" s="182"/>
      <c r="H45" s="182"/>
      <c r="I45" s="195"/>
      <c r="J45" s="195"/>
      <c r="K45" s="196"/>
    </row>
    <row r="46" spans="1:11" ht="14.25">
      <c r="A46" s="192" t="s">
        <v>345</v>
      </c>
      <c r="B46" s="193" t="s">
        <v>92</v>
      </c>
      <c r="C46" s="193" t="s">
        <v>93</v>
      </c>
      <c r="D46" s="193" t="s">
        <v>5</v>
      </c>
      <c r="E46" s="194">
        <v>29.708</v>
      </c>
      <c r="F46" s="182">
        <f>'Phan tich don gia'!G124</f>
        <v>14961.91052</v>
      </c>
      <c r="G46" s="182">
        <f>'Phan tich don gia'!G129</f>
        <v>65572</v>
      </c>
      <c r="H46" s="182">
        <f>'Phan tich don gia'!G131</f>
        <v>585.8972</v>
      </c>
      <c r="I46" s="195">
        <f>E46*F46</f>
        <v>444488.43772815994</v>
      </c>
      <c r="J46" s="195">
        <f>E46*G46</f>
        <v>1948012.9759999998</v>
      </c>
      <c r="K46" s="196">
        <f>E46*H46</f>
        <v>17405.8340176</v>
      </c>
    </row>
    <row r="47" spans="1:11" ht="14.25">
      <c r="A47" s="192" t="s">
        <v>0</v>
      </c>
      <c r="B47" s="193" t="s">
        <v>0</v>
      </c>
      <c r="C47" s="193" t="s">
        <v>94</v>
      </c>
      <c r="D47" s="193" t="s">
        <v>0</v>
      </c>
      <c r="E47" s="194"/>
      <c r="F47" s="182"/>
      <c r="G47" s="182"/>
      <c r="H47" s="182"/>
      <c r="I47" s="195"/>
      <c r="J47" s="195"/>
      <c r="K47" s="196"/>
    </row>
    <row r="48" spans="1:11" ht="14.25">
      <c r="A48" s="192" t="s">
        <v>375</v>
      </c>
      <c r="B48" s="193" t="s">
        <v>97</v>
      </c>
      <c r="C48" s="193" t="s">
        <v>98</v>
      </c>
      <c r="D48" s="193" t="s">
        <v>5</v>
      </c>
      <c r="E48" s="194">
        <v>36.6</v>
      </c>
      <c r="F48" s="182">
        <f>'Phan tich don gia'!G136</f>
        <v>14961.91052</v>
      </c>
      <c r="G48" s="182">
        <f>'Phan tich don gia'!G141</f>
        <v>50440</v>
      </c>
      <c r="H48" s="182">
        <f>'Phan tich don gia'!G143</f>
        <v>585.8972</v>
      </c>
      <c r="I48" s="195">
        <f>E48*F48</f>
        <v>547605.925032</v>
      </c>
      <c r="J48" s="195">
        <f>E48*G48</f>
        <v>1846104</v>
      </c>
      <c r="K48" s="196">
        <f>E48*H48</f>
        <v>21443.83752</v>
      </c>
    </row>
    <row r="49" spans="1:11" ht="14.25">
      <c r="A49" s="192" t="s">
        <v>0</v>
      </c>
      <c r="B49" s="193" t="s">
        <v>0</v>
      </c>
      <c r="C49" s="193" t="s">
        <v>99</v>
      </c>
      <c r="D49" s="193" t="s">
        <v>0</v>
      </c>
      <c r="E49" s="194"/>
      <c r="F49" s="182"/>
      <c r="G49" s="182"/>
      <c r="H49" s="182"/>
      <c r="I49" s="195"/>
      <c r="J49" s="195"/>
      <c r="K49" s="196"/>
    </row>
    <row r="50" spans="1:11" ht="14.25">
      <c r="A50" s="192" t="s">
        <v>374</v>
      </c>
      <c r="B50" s="193" t="s">
        <v>60</v>
      </c>
      <c r="C50" s="193" t="s">
        <v>101</v>
      </c>
      <c r="D50" s="193" t="s">
        <v>62</v>
      </c>
      <c r="E50" s="194">
        <v>177.385</v>
      </c>
      <c r="F50" s="182">
        <f>'Phan tich don gia'!G89</f>
        <v>78761.1837</v>
      </c>
      <c r="G50" s="182">
        <f>'Phan tich don gia'!G93</f>
        <v>18410.6</v>
      </c>
      <c r="H50" s="182"/>
      <c r="I50" s="195">
        <f>E50*F50</f>
        <v>13971052.570624499</v>
      </c>
      <c r="J50" s="195">
        <f>E50*G50</f>
        <v>3265764.2809999995</v>
      </c>
      <c r="K50" s="196">
        <f>E50*H50</f>
        <v>0</v>
      </c>
    </row>
    <row r="51" spans="1:11" ht="14.25">
      <c r="A51" s="192" t="s">
        <v>0</v>
      </c>
      <c r="B51" s="193" t="s">
        <v>0</v>
      </c>
      <c r="C51" s="193" t="s">
        <v>0</v>
      </c>
      <c r="D51" s="193" t="s">
        <v>0</v>
      </c>
      <c r="E51" s="194"/>
      <c r="F51" s="182"/>
      <c r="G51" s="182"/>
      <c r="H51" s="182"/>
      <c r="I51" s="195"/>
      <c r="J51" s="195"/>
      <c r="K51" s="196"/>
    </row>
    <row r="52" spans="1:11" ht="14.25">
      <c r="A52" s="192" t="s">
        <v>360</v>
      </c>
      <c r="B52" s="193" t="s">
        <v>103</v>
      </c>
      <c r="C52" s="193" t="s">
        <v>104</v>
      </c>
      <c r="D52" s="193" t="s">
        <v>5</v>
      </c>
      <c r="E52" s="194">
        <f>170.72</f>
        <v>170.72</v>
      </c>
      <c r="F52" s="182">
        <f>'Phan tich don gia'!G148</f>
        <v>52506.24824</v>
      </c>
      <c r="G52" s="182">
        <f>'Phan tich don gia'!G152</f>
        <v>19167.2</v>
      </c>
      <c r="H52" s="182"/>
      <c r="I52" s="195">
        <f>E52*F52</f>
        <v>8963866.6995328</v>
      </c>
      <c r="J52" s="195">
        <f>E52*G52</f>
        <v>3272224.384</v>
      </c>
      <c r="K52" s="196">
        <f>E52*H52</f>
        <v>0</v>
      </c>
    </row>
    <row r="53" spans="1:11" ht="14.25">
      <c r="A53" s="192" t="s">
        <v>0</v>
      </c>
      <c r="B53" s="193" t="s">
        <v>0</v>
      </c>
      <c r="C53" s="193" t="s">
        <v>105</v>
      </c>
      <c r="D53" s="193" t="s">
        <v>0</v>
      </c>
      <c r="E53" s="194"/>
      <c r="F53" s="182"/>
      <c r="G53" s="182"/>
      <c r="H53" s="182"/>
      <c r="I53" s="195"/>
      <c r="J53" s="195"/>
      <c r="K53" s="196"/>
    </row>
    <row r="54" spans="1:11" ht="14.25">
      <c r="A54" s="192" t="s">
        <v>373</v>
      </c>
      <c r="B54" s="193" t="s">
        <v>109</v>
      </c>
      <c r="C54" s="193" t="s">
        <v>110</v>
      </c>
      <c r="D54" s="193" t="s">
        <v>5</v>
      </c>
      <c r="E54" s="194">
        <f>131.44</f>
        <v>131.44</v>
      </c>
      <c r="F54" s="182"/>
      <c r="G54" s="182">
        <f>'Phan tich don gia'!G156</f>
        <v>17484.736</v>
      </c>
      <c r="H54" s="182"/>
      <c r="I54" s="195">
        <f>E54*F54</f>
        <v>0</v>
      </c>
      <c r="J54" s="195">
        <f>E54*G54</f>
        <v>2298193.69984</v>
      </c>
      <c r="K54" s="196">
        <f>E54*H54</f>
        <v>0</v>
      </c>
    </row>
    <row r="55" spans="1:11" ht="14.25">
      <c r="A55" s="192" t="s">
        <v>0</v>
      </c>
      <c r="B55" s="193" t="s">
        <v>0</v>
      </c>
      <c r="C55" s="193" t="s">
        <v>0</v>
      </c>
      <c r="D55" s="193" t="s">
        <v>0</v>
      </c>
      <c r="E55" s="194"/>
      <c r="F55" s="182"/>
      <c r="G55" s="182"/>
      <c r="H55" s="182"/>
      <c r="I55" s="195"/>
      <c r="J55" s="195"/>
      <c r="K55" s="196"/>
    </row>
    <row r="56" spans="1:11" ht="14.25">
      <c r="A56" s="192" t="s">
        <v>372</v>
      </c>
      <c r="B56" s="193" t="s">
        <v>80</v>
      </c>
      <c r="C56" s="193" t="s">
        <v>81</v>
      </c>
      <c r="D56" s="193" t="s">
        <v>9</v>
      </c>
      <c r="E56" s="194">
        <f>3.943</f>
        <v>3.943</v>
      </c>
      <c r="F56" s="182"/>
      <c r="G56" s="182">
        <f>'Phan tich don gia'!G110</f>
        <v>59010.984</v>
      </c>
      <c r="H56" s="182"/>
      <c r="I56" s="195">
        <f>E56*F56</f>
        <v>0</v>
      </c>
      <c r="J56" s="195">
        <f>E56*G56</f>
        <v>232680.309912</v>
      </c>
      <c r="K56" s="196">
        <f>E56*H56</f>
        <v>0</v>
      </c>
    </row>
    <row r="57" spans="1:11" ht="14.25">
      <c r="A57" s="192" t="s">
        <v>0</v>
      </c>
      <c r="B57" s="193" t="s">
        <v>0</v>
      </c>
      <c r="C57" s="193" t="s">
        <v>0</v>
      </c>
      <c r="D57" s="193" t="s">
        <v>0</v>
      </c>
      <c r="E57" s="194"/>
      <c r="F57" s="182"/>
      <c r="G57" s="182"/>
      <c r="H57" s="182"/>
      <c r="I57" s="195"/>
      <c r="J57" s="195"/>
      <c r="K57" s="196"/>
    </row>
    <row r="58" spans="1:11" ht="14.25">
      <c r="A58" s="192" t="s">
        <v>371</v>
      </c>
      <c r="B58" s="193" t="s">
        <v>83</v>
      </c>
      <c r="C58" s="193" t="s">
        <v>84</v>
      </c>
      <c r="D58" s="193" t="s">
        <v>9</v>
      </c>
      <c r="E58" s="194">
        <f>3.943</f>
        <v>3.943</v>
      </c>
      <c r="F58" s="182"/>
      <c r="G58" s="182">
        <f>'Phan tich don gia'!G115</f>
        <v>37155.064</v>
      </c>
      <c r="H58" s="182"/>
      <c r="I58" s="195">
        <f>E58*F58</f>
        <v>0</v>
      </c>
      <c r="J58" s="195">
        <f>E58*G58</f>
        <v>146502.417352</v>
      </c>
      <c r="K58" s="196">
        <f>E58*H58</f>
        <v>0</v>
      </c>
    </row>
    <row r="59" spans="1:11" ht="14.25">
      <c r="A59" s="192" t="s">
        <v>0</v>
      </c>
      <c r="B59" s="193" t="s">
        <v>0</v>
      </c>
      <c r="C59" s="193" t="s">
        <v>85</v>
      </c>
      <c r="D59" s="193" t="s">
        <v>0</v>
      </c>
      <c r="E59" s="194"/>
      <c r="F59" s="182"/>
      <c r="G59" s="182"/>
      <c r="H59" s="182"/>
      <c r="I59" s="195"/>
      <c r="J59" s="195"/>
      <c r="K59" s="196"/>
    </row>
    <row r="60" spans="1:11" ht="14.25">
      <c r="A60" s="192" t="s">
        <v>370</v>
      </c>
      <c r="B60" s="193" t="s">
        <v>114</v>
      </c>
      <c r="C60" s="193" t="s">
        <v>115</v>
      </c>
      <c r="D60" s="193" t="s">
        <v>89</v>
      </c>
      <c r="E60" s="194">
        <f>3.943</f>
        <v>3.943</v>
      </c>
      <c r="F60" s="182"/>
      <c r="G60" s="182"/>
      <c r="H60" s="182">
        <f>'Phan tich don gia'!G160</f>
        <v>7754.9754</v>
      </c>
      <c r="I60" s="195">
        <f>E60*F60</f>
        <v>0</v>
      </c>
      <c r="J60" s="195">
        <f>E60*G60</f>
        <v>0</v>
      </c>
      <c r="K60" s="196">
        <f>E60*H60</f>
        <v>30577.8680022</v>
      </c>
    </row>
    <row r="61" spans="1:11" ht="14.25">
      <c r="A61" s="192" t="s">
        <v>0</v>
      </c>
      <c r="B61" s="193" t="s">
        <v>0</v>
      </c>
      <c r="C61" s="193" t="s">
        <v>0</v>
      </c>
      <c r="D61" s="193" t="s">
        <v>0</v>
      </c>
      <c r="E61" s="194"/>
      <c r="F61" s="182"/>
      <c r="G61" s="182"/>
      <c r="H61" s="182"/>
      <c r="I61" s="195"/>
      <c r="J61" s="195"/>
      <c r="K61" s="196"/>
    </row>
    <row r="62" spans="1:11" ht="14.25">
      <c r="A62" s="192" t="s">
        <v>369</v>
      </c>
      <c r="B62" s="193" t="s">
        <v>3</v>
      </c>
      <c r="C62" s="193" t="s">
        <v>4</v>
      </c>
      <c r="D62" s="193" t="s">
        <v>5</v>
      </c>
      <c r="E62" s="194">
        <f>131.44</f>
        <v>131.44</v>
      </c>
      <c r="F62" s="182">
        <f>'Phan tich don gia'!G9</f>
        <v>20587.37135</v>
      </c>
      <c r="G62" s="182">
        <f>'Phan tich don gia'!G13</f>
        <v>18616.3396</v>
      </c>
      <c r="H62" s="182">
        <f>'Phan tich don gia'!G15</f>
        <v>1171.7944</v>
      </c>
      <c r="I62" s="195">
        <f>E62*F62</f>
        <v>2706004.0902440003</v>
      </c>
      <c r="J62" s="195">
        <f>E62*G62</f>
        <v>2446931.677024</v>
      </c>
      <c r="K62" s="196">
        <f>E62*H62</f>
        <v>154020.655936</v>
      </c>
    </row>
    <row r="63" spans="1:11" ht="14.25">
      <c r="A63" s="192" t="s">
        <v>0</v>
      </c>
      <c r="B63" s="193" t="s">
        <v>0</v>
      </c>
      <c r="C63" s="193" t="s">
        <v>0</v>
      </c>
      <c r="D63" s="193" t="s">
        <v>0</v>
      </c>
      <c r="E63" s="194"/>
      <c r="F63" s="182"/>
      <c r="G63" s="182"/>
      <c r="H63" s="182"/>
      <c r="I63" s="195"/>
      <c r="J63" s="195"/>
      <c r="K63" s="196"/>
    </row>
    <row r="64" spans="1:11" ht="14.25">
      <c r="A64" s="192" t="s">
        <v>368</v>
      </c>
      <c r="B64" s="193" t="s">
        <v>119</v>
      </c>
      <c r="C64" s="193" t="s">
        <v>120</v>
      </c>
      <c r="D64" s="193" t="s">
        <v>5</v>
      </c>
      <c r="E64" s="194">
        <f>131.44</f>
        <v>131.44</v>
      </c>
      <c r="F64" s="182">
        <f>'Phan tich don gia'!G164</f>
        <v>315479.53874</v>
      </c>
      <c r="G64" s="182">
        <f>'Phan tich don gia'!G172</f>
        <v>38327.758</v>
      </c>
      <c r="H64" s="182">
        <f>'Phan tich don gia'!G174</f>
        <v>1112.692</v>
      </c>
      <c r="I64" s="195">
        <f>E64*F64</f>
        <v>41466630.571985595</v>
      </c>
      <c r="J64" s="195">
        <f>E64*G64</f>
        <v>5037800.51152</v>
      </c>
      <c r="K64" s="196">
        <f>E64*H64</f>
        <v>146252.23648</v>
      </c>
    </row>
    <row r="65" spans="1:11" ht="14.25">
      <c r="A65" s="192" t="s">
        <v>0</v>
      </c>
      <c r="B65" s="193" t="s">
        <v>0</v>
      </c>
      <c r="C65" s="193" t="s">
        <v>0</v>
      </c>
      <c r="D65" s="193" t="s">
        <v>0</v>
      </c>
      <c r="E65" s="194"/>
      <c r="F65" s="182"/>
      <c r="G65" s="182"/>
      <c r="H65" s="182"/>
      <c r="I65" s="195"/>
      <c r="J65" s="195"/>
      <c r="K65" s="196"/>
    </row>
    <row r="66" spans="1:11" ht="14.25">
      <c r="A66" s="192" t="s">
        <v>367</v>
      </c>
      <c r="B66" s="193" t="s">
        <v>126</v>
      </c>
      <c r="C66" s="193" t="s">
        <v>127</v>
      </c>
      <c r="D66" s="193" t="s">
        <v>5</v>
      </c>
      <c r="E66" s="194">
        <f>93.44</f>
        <v>93.44</v>
      </c>
      <c r="F66" s="182">
        <f>'Phan tich don gia'!G178</f>
        <v>189000</v>
      </c>
      <c r="G66" s="182"/>
      <c r="H66" s="182"/>
      <c r="I66" s="195">
        <f>E66*F66</f>
        <v>17660160</v>
      </c>
      <c r="J66" s="195">
        <f>E66*G66</f>
        <v>0</v>
      </c>
      <c r="K66" s="196">
        <f>E66*H66</f>
        <v>0</v>
      </c>
    </row>
    <row r="67" spans="1:11" ht="14.25">
      <c r="A67" s="192" t="s">
        <v>0</v>
      </c>
      <c r="B67" s="193" t="s">
        <v>0</v>
      </c>
      <c r="C67" s="193" t="s">
        <v>0</v>
      </c>
      <c r="D67" s="193" t="s">
        <v>0</v>
      </c>
      <c r="E67" s="194"/>
      <c r="F67" s="182"/>
      <c r="G67" s="182"/>
      <c r="H67" s="182"/>
      <c r="I67" s="195"/>
      <c r="J67" s="195"/>
      <c r="K67" s="196"/>
    </row>
    <row r="68" spans="1:11" ht="14.25">
      <c r="A68" s="197" t="s">
        <v>21</v>
      </c>
      <c r="B68" s="198" t="s">
        <v>0</v>
      </c>
      <c r="C68" s="198" t="s">
        <v>129</v>
      </c>
      <c r="D68" s="198" t="s">
        <v>0</v>
      </c>
      <c r="E68" s="199"/>
      <c r="F68" s="200"/>
      <c r="G68" s="200"/>
      <c r="H68" s="200"/>
      <c r="I68" s="201">
        <f>SUM(I69:I108)</f>
        <v>69538789.23262449</v>
      </c>
      <c r="J68" s="201">
        <f>SUM(J69:J108)</f>
        <v>29308330.126688004</v>
      </c>
      <c r="K68" s="202">
        <f>SUM(K69:K108)</f>
        <v>307507.92518859997</v>
      </c>
    </row>
    <row r="69" spans="1:11" ht="14.25">
      <c r="A69" s="192" t="s">
        <v>0</v>
      </c>
      <c r="B69" s="193" t="s">
        <v>0</v>
      </c>
      <c r="C69" s="193" t="s">
        <v>0</v>
      </c>
      <c r="D69" s="193" t="s">
        <v>0</v>
      </c>
      <c r="E69" s="194"/>
      <c r="F69" s="182"/>
      <c r="G69" s="182"/>
      <c r="H69" s="182"/>
      <c r="I69" s="195"/>
      <c r="J69" s="195"/>
      <c r="K69" s="196"/>
    </row>
    <row r="70" spans="1:11" ht="14.25">
      <c r="A70" s="192" t="s">
        <v>0</v>
      </c>
      <c r="B70" s="193" t="s">
        <v>0</v>
      </c>
      <c r="C70" s="193" t="s">
        <v>380</v>
      </c>
      <c r="D70" s="193" t="s">
        <v>0</v>
      </c>
      <c r="E70" s="194"/>
      <c r="F70" s="182"/>
      <c r="G70" s="182"/>
      <c r="H70" s="182"/>
      <c r="I70" s="195"/>
      <c r="J70" s="195"/>
      <c r="K70" s="196"/>
    </row>
    <row r="71" spans="1:11" ht="14.25">
      <c r="A71" s="192" t="s">
        <v>379</v>
      </c>
      <c r="B71" s="193" t="s">
        <v>69</v>
      </c>
      <c r="C71" s="193" t="s">
        <v>70</v>
      </c>
      <c r="D71" s="193" t="s">
        <v>19</v>
      </c>
      <c r="E71" s="194">
        <f>203.843</f>
        <v>203.843</v>
      </c>
      <c r="F71" s="182"/>
      <c r="G71" s="182">
        <f>'Phan tich don gia'!G97</f>
        <v>13113.552</v>
      </c>
      <c r="H71" s="182"/>
      <c r="I71" s="195">
        <f>E71*F71</f>
        <v>0</v>
      </c>
      <c r="J71" s="195">
        <f>E71*G71</f>
        <v>2673105.780336</v>
      </c>
      <c r="K71" s="196">
        <f>E71*H71</f>
        <v>0</v>
      </c>
    </row>
    <row r="72" spans="1:11" ht="14.25">
      <c r="A72" s="192" t="s">
        <v>0</v>
      </c>
      <c r="B72" s="193" t="s">
        <v>0</v>
      </c>
      <c r="C72" s="193" t="s">
        <v>0</v>
      </c>
      <c r="D72" s="193" t="s">
        <v>0</v>
      </c>
      <c r="E72" s="194"/>
      <c r="F72" s="182"/>
      <c r="G72" s="182"/>
      <c r="H72" s="182"/>
      <c r="I72" s="195"/>
      <c r="J72" s="195"/>
      <c r="K72" s="196"/>
    </row>
    <row r="73" spans="1:11" ht="14.25">
      <c r="A73" s="192" t="s">
        <v>378</v>
      </c>
      <c r="B73" s="193" t="s">
        <v>72</v>
      </c>
      <c r="C73" s="193" t="s">
        <v>73</v>
      </c>
      <c r="D73" s="193" t="s">
        <v>19</v>
      </c>
      <c r="E73" s="194">
        <f>69.18</f>
        <v>69.18</v>
      </c>
      <c r="F73" s="182"/>
      <c r="G73" s="182">
        <f>'Phan tich don gia'!G101</f>
        <v>15299.144</v>
      </c>
      <c r="H73" s="182"/>
      <c r="I73" s="195">
        <f>E73*F73</f>
        <v>0</v>
      </c>
      <c r="J73" s="195">
        <f>E73*G73</f>
        <v>1058394.7819200002</v>
      </c>
      <c r="K73" s="196">
        <f>E73*H73</f>
        <v>0</v>
      </c>
    </row>
    <row r="74" spans="1:11" ht="14.25">
      <c r="A74" s="192" t="s">
        <v>0</v>
      </c>
      <c r="B74" s="193" t="s">
        <v>0</v>
      </c>
      <c r="C74" s="193" t="s">
        <v>0</v>
      </c>
      <c r="D74" s="193" t="s">
        <v>0</v>
      </c>
      <c r="E74" s="194"/>
      <c r="F74" s="182"/>
      <c r="G74" s="182"/>
      <c r="H74" s="182"/>
      <c r="I74" s="195"/>
      <c r="J74" s="195"/>
      <c r="K74" s="196"/>
    </row>
    <row r="75" spans="1:11" ht="14.25">
      <c r="A75" s="192" t="s">
        <v>377</v>
      </c>
      <c r="B75" s="193" t="s">
        <v>75</v>
      </c>
      <c r="C75" s="193" t="s">
        <v>76</v>
      </c>
      <c r="D75" s="193" t="s">
        <v>5</v>
      </c>
      <c r="E75" s="194">
        <v>58.13</v>
      </c>
      <c r="F75" s="182"/>
      <c r="G75" s="182">
        <f>'Phan tich don gia'!G106</f>
        <v>100380</v>
      </c>
      <c r="H75" s="182"/>
      <c r="I75" s="195">
        <f>E75*F75</f>
        <v>0</v>
      </c>
      <c r="J75" s="195">
        <f>E75*G75</f>
        <v>5835089.4</v>
      </c>
      <c r="K75" s="196">
        <f>E75*H75</f>
        <v>0</v>
      </c>
    </row>
    <row r="76" spans="1:11" ht="14.25">
      <c r="A76" s="192" t="s">
        <v>0</v>
      </c>
      <c r="B76" s="193" t="s">
        <v>0</v>
      </c>
      <c r="C76" s="193" t="s">
        <v>77</v>
      </c>
      <c r="D76" s="193" t="s">
        <v>0</v>
      </c>
      <c r="E76" s="194"/>
      <c r="F76" s="182"/>
      <c r="G76" s="182"/>
      <c r="H76" s="182"/>
      <c r="I76" s="195"/>
      <c r="J76" s="195"/>
      <c r="K76" s="196"/>
    </row>
    <row r="77" spans="1:11" ht="14.25">
      <c r="A77" s="192" t="s">
        <v>372</v>
      </c>
      <c r="B77" s="193" t="s">
        <v>80</v>
      </c>
      <c r="C77" s="193" t="s">
        <v>81</v>
      </c>
      <c r="D77" s="193" t="s">
        <v>9</v>
      </c>
      <c r="E77" s="194">
        <f>1.31</f>
        <v>1.31</v>
      </c>
      <c r="F77" s="182"/>
      <c r="G77" s="182">
        <f>'Phan tich don gia'!G110</f>
        <v>59010.984</v>
      </c>
      <c r="H77" s="182"/>
      <c r="I77" s="195">
        <f>E77*F77</f>
        <v>0</v>
      </c>
      <c r="J77" s="195">
        <f>E77*G77</f>
        <v>77304.38904</v>
      </c>
      <c r="K77" s="196">
        <f>E77*H77</f>
        <v>0</v>
      </c>
    </row>
    <row r="78" spans="1:11" ht="14.25">
      <c r="A78" s="192" t="s">
        <v>0</v>
      </c>
      <c r="B78" s="193" t="s">
        <v>0</v>
      </c>
      <c r="C78" s="193" t="s">
        <v>0</v>
      </c>
      <c r="D78" s="193" t="s">
        <v>0</v>
      </c>
      <c r="E78" s="194"/>
      <c r="F78" s="182"/>
      <c r="G78" s="182"/>
      <c r="H78" s="182"/>
      <c r="I78" s="195"/>
      <c r="J78" s="195"/>
      <c r="K78" s="196"/>
    </row>
    <row r="79" spans="1:11" ht="14.25">
      <c r="A79" s="192" t="s">
        <v>371</v>
      </c>
      <c r="B79" s="193" t="s">
        <v>83</v>
      </c>
      <c r="C79" s="193" t="s">
        <v>84</v>
      </c>
      <c r="D79" s="193" t="s">
        <v>9</v>
      </c>
      <c r="E79" s="194">
        <f>1.31</f>
        <v>1.31</v>
      </c>
      <c r="F79" s="182"/>
      <c r="G79" s="182">
        <f>'Phan tich don gia'!G115</f>
        <v>37155.064</v>
      </c>
      <c r="H79" s="182"/>
      <c r="I79" s="195">
        <f>E79*F79</f>
        <v>0</v>
      </c>
      <c r="J79" s="195">
        <f>E79*G79</f>
        <v>48673.13384</v>
      </c>
      <c r="K79" s="196">
        <f>E79*H79</f>
        <v>0</v>
      </c>
    </row>
    <row r="80" spans="1:11" ht="14.25">
      <c r="A80" s="192" t="s">
        <v>0</v>
      </c>
      <c r="B80" s="193" t="s">
        <v>0</v>
      </c>
      <c r="C80" s="193" t="s">
        <v>85</v>
      </c>
      <c r="D80" s="193" t="s">
        <v>0</v>
      </c>
      <c r="E80" s="194"/>
      <c r="F80" s="182"/>
      <c r="G80" s="182"/>
      <c r="H80" s="182"/>
      <c r="I80" s="195"/>
      <c r="J80" s="195"/>
      <c r="K80" s="196"/>
    </row>
    <row r="81" spans="1:11" ht="14.25">
      <c r="A81" s="192" t="s">
        <v>376</v>
      </c>
      <c r="B81" s="193" t="s">
        <v>87</v>
      </c>
      <c r="C81" s="193" t="s">
        <v>88</v>
      </c>
      <c r="D81" s="193" t="s">
        <v>89</v>
      </c>
      <c r="E81" s="194">
        <f>1.31</f>
        <v>1.31</v>
      </c>
      <c r="F81" s="182"/>
      <c r="G81" s="182"/>
      <c r="H81" s="182">
        <f>'Phan tich don gia'!G119</f>
        <v>10649.364</v>
      </c>
      <c r="I81" s="195">
        <f>E81*F81</f>
        <v>0</v>
      </c>
      <c r="J81" s="195">
        <f>E81*G81</f>
        <v>0</v>
      </c>
      <c r="K81" s="196">
        <f>E81*H81</f>
        <v>13950.66684</v>
      </c>
    </row>
    <row r="82" spans="1:11" ht="14.25">
      <c r="A82" s="192" t="s">
        <v>0</v>
      </c>
      <c r="B82" s="193" t="s">
        <v>0</v>
      </c>
      <c r="C82" s="193" t="s">
        <v>0</v>
      </c>
      <c r="D82" s="193" t="s">
        <v>0</v>
      </c>
      <c r="E82" s="194"/>
      <c r="F82" s="182"/>
      <c r="G82" s="182"/>
      <c r="H82" s="182"/>
      <c r="I82" s="195"/>
      <c r="J82" s="195"/>
      <c r="K82" s="196"/>
    </row>
    <row r="83" spans="1:11" ht="14.25">
      <c r="A83" s="192" t="s">
        <v>345</v>
      </c>
      <c r="B83" s="193" t="s">
        <v>92</v>
      </c>
      <c r="C83" s="193" t="s">
        <v>93</v>
      </c>
      <c r="D83" s="193" t="s">
        <v>5</v>
      </c>
      <c r="E83" s="194">
        <v>24.831</v>
      </c>
      <c r="F83" s="182">
        <f>'Phan tich don gia'!G124</f>
        <v>14961.91052</v>
      </c>
      <c r="G83" s="182">
        <f>'Phan tich don gia'!G129</f>
        <v>65572</v>
      </c>
      <c r="H83" s="182">
        <f>'Phan tich don gia'!G131</f>
        <v>585.8972</v>
      </c>
      <c r="I83" s="195">
        <f>E83*F83</f>
        <v>371519.20012212</v>
      </c>
      <c r="J83" s="195">
        <f>E83*G83</f>
        <v>1628218.332</v>
      </c>
      <c r="K83" s="196">
        <f>E83*H83</f>
        <v>14548.4133732</v>
      </c>
    </row>
    <row r="84" spans="1:11" ht="14.25">
      <c r="A84" s="192" t="s">
        <v>0</v>
      </c>
      <c r="B84" s="193" t="s">
        <v>0</v>
      </c>
      <c r="C84" s="193" t="s">
        <v>94</v>
      </c>
      <c r="D84" s="193" t="s">
        <v>0</v>
      </c>
      <c r="E84" s="194"/>
      <c r="F84" s="182"/>
      <c r="G84" s="182"/>
      <c r="H84" s="182"/>
      <c r="I84" s="195"/>
      <c r="J84" s="195"/>
      <c r="K84" s="196"/>
    </row>
    <row r="85" spans="1:11" ht="14.25">
      <c r="A85" s="192" t="s">
        <v>375</v>
      </c>
      <c r="B85" s="193" t="s">
        <v>97</v>
      </c>
      <c r="C85" s="193" t="s">
        <v>98</v>
      </c>
      <c r="D85" s="193" t="s">
        <v>5</v>
      </c>
      <c r="E85" s="194">
        <f>47.915</f>
        <v>47.915</v>
      </c>
      <c r="F85" s="182">
        <f>'Phan tich don gia'!G136</f>
        <v>14961.91052</v>
      </c>
      <c r="G85" s="182">
        <f>'Phan tich don gia'!G141</f>
        <v>50440</v>
      </c>
      <c r="H85" s="182">
        <f>'Phan tich don gia'!G143</f>
        <v>585.8972</v>
      </c>
      <c r="I85" s="195">
        <f>E85*F85</f>
        <v>716899.9425657999</v>
      </c>
      <c r="J85" s="195">
        <f>E85*G85</f>
        <v>2416832.6</v>
      </c>
      <c r="K85" s="196">
        <f>E85*H85</f>
        <v>28073.264338</v>
      </c>
    </row>
    <row r="86" spans="1:11" ht="14.25">
      <c r="A86" s="192" t="s">
        <v>0</v>
      </c>
      <c r="B86" s="193" t="s">
        <v>0</v>
      </c>
      <c r="C86" s="193" t="s">
        <v>99</v>
      </c>
      <c r="D86" s="193" t="s">
        <v>0</v>
      </c>
      <c r="E86" s="194"/>
      <c r="F86" s="182"/>
      <c r="G86" s="182"/>
      <c r="H86" s="182"/>
      <c r="I86" s="195"/>
      <c r="J86" s="195"/>
      <c r="K86" s="196"/>
    </row>
    <row r="87" spans="1:11" ht="14.25">
      <c r="A87" s="192" t="s">
        <v>374</v>
      </c>
      <c r="B87" s="193" t="s">
        <v>60</v>
      </c>
      <c r="C87" s="193" t="s">
        <v>101</v>
      </c>
      <c r="D87" s="193" t="s">
        <v>62</v>
      </c>
      <c r="E87" s="194">
        <v>149.468</v>
      </c>
      <c r="F87" s="182">
        <f>'Phan tich don gia'!G89</f>
        <v>78761.1837</v>
      </c>
      <c r="G87" s="182">
        <f>'Phan tich don gia'!G93</f>
        <v>18410.6</v>
      </c>
      <c r="H87" s="182"/>
      <c r="I87" s="195">
        <f>E87*F87</f>
        <v>11772276.605271598</v>
      </c>
      <c r="J87" s="195">
        <f>E87*G87</f>
        <v>2751795.5607999996</v>
      </c>
      <c r="K87" s="196">
        <f>E87*H87</f>
        <v>0</v>
      </c>
    </row>
    <row r="88" spans="1:11" ht="14.25">
      <c r="A88" s="192" t="s">
        <v>0</v>
      </c>
      <c r="B88" s="193" t="s">
        <v>0</v>
      </c>
      <c r="C88" s="193" t="s">
        <v>0</v>
      </c>
      <c r="D88" s="193" t="s">
        <v>0</v>
      </c>
      <c r="E88" s="194"/>
      <c r="F88" s="182"/>
      <c r="G88" s="182"/>
      <c r="H88" s="182"/>
      <c r="I88" s="195"/>
      <c r="J88" s="195"/>
      <c r="K88" s="196"/>
    </row>
    <row r="89" spans="1:11" ht="14.25">
      <c r="A89" s="192" t="s">
        <v>360</v>
      </c>
      <c r="B89" s="193" t="s">
        <v>103</v>
      </c>
      <c r="C89" s="193" t="s">
        <v>104</v>
      </c>
      <c r="D89" s="193" t="s">
        <v>5</v>
      </c>
      <c r="E89" s="194">
        <f>159.717</f>
        <v>159.717</v>
      </c>
      <c r="F89" s="182">
        <f>'Phan tich don gia'!G148</f>
        <v>52506.24824</v>
      </c>
      <c r="G89" s="182">
        <f>'Phan tich don gia'!G152</f>
        <v>19167.2</v>
      </c>
      <c r="H89" s="182"/>
      <c r="I89" s="195">
        <f>E89*F89</f>
        <v>8386140.4501480805</v>
      </c>
      <c r="J89" s="195">
        <f>E89*G89</f>
        <v>3061327.6824000003</v>
      </c>
      <c r="K89" s="196">
        <f>E89*H89</f>
        <v>0</v>
      </c>
    </row>
    <row r="90" spans="1:11" ht="14.25">
      <c r="A90" s="192" t="s">
        <v>0</v>
      </c>
      <c r="B90" s="193" t="s">
        <v>0</v>
      </c>
      <c r="C90" s="193" t="s">
        <v>105</v>
      </c>
      <c r="D90" s="193" t="s">
        <v>0</v>
      </c>
      <c r="E90" s="194"/>
      <c r="F90" s="182"/>
      <c r="G90" s="182"/>
      <c r="H90" s="182"/>
      <c r="I90" s="195"/>
      <c r="J90" s="195"/>
      <c r="K90" s="196"/>
    </row>
    <row r="91" spans="1:11" ht="14.25">
      <c r="A91" s="192" t="s">
        <v>373</v>
      </c>
      <c r="B91" s="193" t="s">
        <v>109</v>
      </c>
      <c r="C91" s="193" t="s">
        <v>110</v>
      </c>
      <c r="D91" s="193" t="s">
        <v>5</v>
      </c>
      <c r="E91" s="194">
        <f>99.69</f>
        <v>99.69</v>
      </c>
      <c r="F91" s="182"/>
      <c r="G91" s="182">
        <f>'Phan tich don gia'!G156</f>
        <v>17484.736</v>
      </c>
      <c r="H91" s="182"/>
      <c r="I91" s="195">
        <f>E91*F91</f>
        <v>0</v>
      </c>
      <c r="J91" s="195">
        <f>E91*G91</f>
        <v>1743053.33184</v>
      </c>
      <c r="K91" s="196">
        <f>E91*H91</f>
        <v>0</v>
      </c>
    </row>
    <row r="92" spans="1:11" ht="14.25">
      <c r="A92" s="192" t="s">
        <v>0</v>
      </c>
      <c r="B92" s="193" t="s">
        <v>0</v>
      </c>
      <c r="C92" s="193" t="s">
        <v>0</v>
      </c>
      <c r="D92" s="193" t="s">
        <v>0</v>
      </c>
      <c r="E92" s="194"/>
      <c r="F92" s="182"/>
      <c r="G92" s="182"/>
      <c r="H92" s="182"/>
      <c r="I92" s="195"/>
      <c r="J92" s="195"/>
      <c r="K92" s="196"/>
    </row>
    <row r="93" spans="1:11" ht="14.25">
      <c r="A93" s="192" t="s">
        <v>372</v>
      </c>
      <c r="B93" s="193" t="s">
        <v>80</v>
      </c>
      <c r="C93" s="193" t="s">
        <v>81</v>
      </c>
      <c r="D93" s="193" t="s">
        <v>9</v>
      </c>
      <c r="E93" s="194">
        <f>2.991</f>
        <v>2.991</v>
      </c>
      <c r="F93" s="182"/>
      <c r="G93" s="182">
        <f>'Phan tich don gia'!G110</f>
        <v>59010.984</v>
      </c>
      <c r="H93" s="182"/>
      <c r="I93" s="195">
        <f>E93*F93</f>
        <v>0</v>
      </c>
      <c r="J93" s="195">
        <f>E93*G93</f>
        <v>176501.853144</v>
      </c>
      <c r="K93" s="196">
        <f>E93*H93</f>
        <v>0</v>
      </c>
    </row>
    <row r="94" spans="1:11" ht="14.25">
      <c r="A94" s="192" t="s">
        <v>0</v>
      </c>
      <c r="B94" s="193" t="s">
        <v>0</v>
      </c>
      <c r="C94" s="193" t="s">
        <v>0</v>
      </c>
      <c r="D94" s="193" t="s">
        <v>0</v>
      </c>
      <c r="E94" s="194"/>
      <c r="F94" s="182"/>
      <c r="G94" s="182"/>
      <c r="H94" s="182"/>
      <c r="I94" s="195"/>
      <c r="J94" s="195"/>
      <c r="K94" s="196"/>
    </row>
    <row r="95" spans="1:11" ht="14.25">
      <c r="A95" s="192" t="s">
        <v>371</v>
      </c>
      <c r="B95" s="193" t="s">
        <v>83</v>
      </c>
      <c r="C95" s="193" t="s">
        <v>84</v>
      </c>
      <c r="D95" s="193" t="s">
        <v>9</v>
      </c>
      <c r="E95" s="194">
        <f>2.991</f>
        <v>2.991</v>
      </c>
      <c r="F95" s="182"/>
      <c r="G95" s="182">
        <f>'Phan tich don gia'!G115</f>
        <v>37155.064</v>
      </c>
      <c r="H95" s="182"/>
      <c r="I95" s="195">
        <f>E95*F95</f>
        <v>0</v>
      </c>
      <c r="J95" s="195">
        <f>E95*G95</f>
        <v>111130.796424</v>
      </c>
      <c r="K95" s="196">
        <f>E95*H95</f>
        <v>0</v>
      </c>
    </row>
    <row r="96" spans="1:11" ht="14.25">
      <c r="A96" s="192" t="s">
        <v>0</v>
      </c>
      <c r="B96" s="193" t="s">
        <v>0</v>
      </c>
      <c r="C96" s="193" t="s">
        <v>85</v>
      </c>
      <c r="D96" s="193" t="s">
        <v>0</v>
      </c>
      <c r="E96" s="194"/>
      <c r="F96" s="182"/>
      <c r="G96" s="182"/>
      <c r="H96" s="182"/>
      <c r="I96" s="195"/>
      <c r="J96" s="195"/>
      <c r="K96" s="196"/>
    </row>
    <row r="97" spans="1:11" ht="14.25">
      <c r="A97" s="192" t="s">
        <v>370</v>
      </c>
      <c r="B97" s="193" t="s">
        <v>114</v>
      </c>
      <c r="C97" s="193" t="s">
        <v>115</v>
      </c>
      <c r="D97" s="193" t="s">
        <v>89</v>
      </c>
      <c r="E97" s="194">
        <f>2.991</f>
        <v>2.991</v>
      </c>
      <c r="F97" s="182"/>
      <c r="G97" s="182"/>
      <c r="H97" s="182">
        <f>'Phan tich don gia'!G160</f>
        <v>7754.9754</v>
      </c>
      <c r="I97" s="195">
        <f>E97*F97</f>
        <v>0</v>
      </c>
      <c r="J97" s="195">
        <f>E97*G97</f>
        <v>0</v>
      </c>
      <c r="K97" s="196">
        <f>E97*H97</f>
        <v>23195.1314214</v>
      </c>
    </row>
    <row r="98" spans="1:11" ht="14.25">
      <c r="A98" s="192" t="s">
        <v>0</v>
      </c>
      <c r="B98" s="193" t="s">
        <v>0</v>
      </c>
      <c r="C98" s="193" t="s">
        <v>0</v>
      </c>
      <c r="D98" s="193" t="s">
        <v>0</v>
      </c>
      <c r="E98" s="194"/>
      <c r="F98" s="182"/>
      <c r="G98" s="182"/>
      <c r="H98" s="182"/>
      <c r="I98" s="195"/>
      <c r="J98" s="195"/>
      <c r="K98" s="196"/>
    </row>
    <row r="99" spans="1:11" ht="14.25">
      <c r="A99" s="192" t="s">
        <v>369</v>
      </c>
      <c r="B99" s="193" t="s">
        <v>3</v>
      </c>
      <c r="C99" s="193" t="s">
        <v>4</v>
      </c>
      <c r="D99" s="193" t="s">
        <v>5</v>
      </c>
      <c r="E99" s="194">
        <f>99.69</f>
        <v>99.69</v>
      </c>
      <c r="F99" s="182">
        <f>'Phan tich don gia'!G9</f>
        <v>20587.37135</v>
      </c>
      <c r="G99" s="182">
        <f>'Phan tich don gia'!G13</f>
        <v>18616.3396</v>
      </c>
      <c r="H99" s="182">
        <f>'Phan tich don gia'!G15</f>
        <v>1171.7944</v>
      </c>
      <c r="I99" s="195">
        <f>E99*F99</f>
        <v>2052355.0498815002</v>
      </c>
      <c r="J99" s="195">
        <f>E99*G99</f>
        <v>1855862.8947239998</v>
      </c>
      <c r="K99" s="196">
        <f>E99*H99</f>
        <v>116816.18373599999</v>
      </c>
    </row>
    <row r="100" spans="1:11" ht="14.25">
      <c r="A100" s="192" t="s">
        <v>0</v>
      </c>
      <c r="B100" s="193" t="s">
        <v>0</v>
      </c>
      <c r="C100" s="193" t="s">
        <v>0</v>
      </c>
      <c r="D100" s="193" t="s">
        <v>0</v>
      </c>
      <c r="E100" s="194"/>
      <c r="F100" s="182"/>
      <c r="G100" s="182"/>
      <c r="H100" s="182"/>
      <c r="I100" s="195"/>
      <c r="J100" s="195"/>
      <c r="K100" s="196"/>
    </row>
    <row r="101" spans="1:11" ht="14.25">
      <c r="A101" s="192" t="s">
        <v>368</v>
      </c>
      <c r="B101" s="193" t="s">
        <v>119</v>
      </c>
      <c r="C101" s="193" t="s">
        <v>120</v>
      </c>
      <c r="D101" s="193" t="s">
        <v>5</v>
      </c>
      <c r="E101" s="194">
        <f>99.69</f>
        <v>99.69</v>
      </c>
      <c r="F101" s="182">
        <f>'Phan tich don gia'!G164</f>
        <v>315479.53874</v>
      </c>
      <c r="G101" s="182">
        <f>'Phan tich don gia'!G172</f>
        <v>38327.758</v>
      </c>
      <c r="H101" s="182">
        <f>'Phan tich don gia'!G174</f>
        <v>1112.692</v>
      </c>
      <c r="I101" s="195">
        <f>E101*F101</f>
        <v>31450155.216990598</v>
      </c>
      <c r="J101" s="195">
        <f>E101*G101</f>
        <v>3820894.19502</v>
      </c>
      <c r="K101" s="196">
        <f>E101*H101</f>
        <v>110924.26548</v>
      </c>
    </row>
    <row r="102" spans="1:11" ht="14.25">
      <c r="A102" s="192" t="s">
        <v>0</v>
      </c>
      <c r="B102" s="193" t="s">
        <v>0</v>
      </c>
      <c r="C102" s="193" t="s">
        <v>0</v>
      </c>
      <c r="D102" s="193" t="s">
        <v>0</v>
      </c>
      <c r="E102" s="194"/>
      <c r="F102" s="182"/>
      <c r="G102" s="182"/>
      <c r="H102" s="182"/>
      <c r="I102" s="195"/>
      <c r="J102" s="195"/>
      <c r="K102" s="196"/>
    </row>
    <row r="103" spans="1:11" ht="14.25">
      <c r="A103" s="192" t="s">
        <v>367</v>
      </c>
      <c r="B103" s="193" t="s">
        <v>126</v>
      </c>
      <c r="C103" s="193" t="s">
        <v>127</v>
      </c>
      <c r="D103" s="193" t="s">
        <v>5</v>
      </c>
      <c r="E103" s="194">
        <f>68.44</f>
        <v>68.44</v>
      </c>
      <c r="F103" s="182">
        <f>'Phan tich don gia'!G178</f>
        <v>189000</v>
      </c>
      <c r="G103" s="182"/>
      <c r="H103" s="182"/>
      <c r="I103" s="195">
        <f>E103*F103</f>
        <v>12935160</v>
      </c>
      <c r="J103" s="195">
        <f>E103*G103</f>
        <v>0</v>
      </c>
      <c r="K103" s="196">
        <f>E103*H103</f>
        <v>0</v>
      </c>
    </row>
    <row r="104" spans="1:11" ht="14.25">
      <c r="A104" s="192" t="s">
        <v>0</v>
      </c>
      <c r="B104" s="193" t="s">
        <v>0</v>
      </c>
      <c r="C104" s="193" t="s">
        <v>0</v>
      </c>
      <c r="D104" s="193" t="s">
        <v>0</v>
      </c>
      <c r="E104" s="194"/>
      <c r="F104" s="182"/>
      <c r="G104" s="182"/>
      <c r="H104" s="182"/>
      <c r="I104" s="195"/>
      <c r="J104" s="195"/>
      <c r="K104" s="196"/>
    </row>
    <row r="105" spans="1:11" ht="14.25">
      <c r="A105" s="192" t="s">
        <v>366</v>
      </c>
      <c r="B105" s="193" t="s">
        <v>148</v>
      </c>
      <c r="C105" s="193" t="s">
        <v>149</v>
      </c>
      <c r="D105" s="193" t="s">
        <v>19</v>
      </c>
      <c r="E105" s="194">
        <f>41.76</f>
        <v>41.76</v>
      </c>
      <c r="F105" s="182"/>
      <c r="G105" s="182">
        <f>'Phan tich don gia'!G182</f>
        <v>21855.92</v>
      </c>
      <c r="H105" s="182"/>
      <c r="I105" s="195">
        <f>E105*F105</f>
        <v>0</v>
      </c>
      <c r="J105" s="195">
        <f>E105*G105</f>
        <v>912703.2191999999</v>
      </c>
      <c r="K105" s="196">
        <f>E105*H105</f>
        <v>0</v>
      </c>
    </row>
    <row r="106" spans="1:11" ht="14.25">
      <c r="A106" s="192" t="s">
        <v>0</v>
      </c>
      <c r="B106" s="193" t="s">
        <v>0</v>
      </c>
      <c r="C106" s="193" t="s">
        <v>0</v>
      </c>
      <c r="D106" s="193" t="s">
        <v>0</v>
      </c>
      <c r="E106" s="194"/>
      <c r="F106" s="182"/>
      <c r="G106" s="182"/>
      <c r="H106" s="182"/>
      <c r="I106" s="195"/>
      <c r="J106" s="195"/>
      <c r="K106" s="196"/>
    </row>
    <row r="107" spans="1:11" ht="14.25">
      <c r="A107" s="192" t="s">
        <v>365</v>
      </c>
      <c r="B107" s="193" t="s">
        <v>151</v>
      </c>
      <c r="C107" s="193" t="s">
        <v>587</v>
      </c>
      <c r="D107" s="193" t="s">
        <v>5</v>
      </c>
      <c r="E107" s="194">
        <f>41.76</f>
        <v>41.76</v>
      </c>
      <c r="F107" s="182">
        <f>'Phan tich don gia'!G186</f>
        <v>44403.32298</v>
      </c>
      <c r="G107" s="182">
        <f>'Phan tich don gia'!G190</f>
        <v>27237.6</v>
      </c>
      <c r="H107" s="182"/>
      <c r="I107" s="195">
        <f>E107*F107</f>
        <v>1854282.7676447998</v>
      </c>
      <c r="J107" s="195">
        <f>E107*G107</f>
        <v>1137442.176</v>
      </c>
      <c r="K107" s="196">
        <f>E107*H107</f>
        <v>0</v>
      </c>
    </row>
    <row r="108" spans="1:11" ht="14.25">
      <c r="A108" s="192" t="s">
        <v>0</v>
      </c>
      <c r="B108" s="193" t="s">
        <v>0</v>
      </c>
      <c r="C108" s="193" t="s">
        <v>0</v>
      </c>
      <c r="D108" s="193" t="s">
        <v>0</v>
      </c>
      <c r="E108" s="194"/>
      <c r="F108" s="182"/>
      <c r="G108" s="182"/>
      <c r="H108" s="182"/>
      <c r="I108" s="195"/>
      <c r="J108" s="195"/>
      <c r="K108" s="196"/>
    </row>
    <row r="109" spans="1:11" ht="14.25">
      <c r="A109" s="197" t="s">
        <v>26</v>
      </c>
      <c r="B109" s="198" t="s">
        <v>0</v>
      </c>
      <c r="C109" s="198" t="s">
        <v>155</v>
      </c>
      <c r="D109" s="198" t="s">
        <v>0</v>
      </c>
      <c r="E109" s="199"/>
      <c r="F109" s="200"/>
      <c r="G109" s="200"/>
      <c r="H109" s="200"/>
      <c r="I109" s="201">
        <f>SUM(I110:I126)</f>
        <v>45099570.003404796</v>
      </c>
      <c r="J109" s="201">
        <f>SUM(J110:J126)</f>
        <v>1123138.672</v>
      </c>
      <c r="K109" s="202">
        <f>SUM(K110:K126)</f>
        <v>2249.845248</v>
      </c>
    </row>
    <row r="110" spans="1:11" ht="14.25">
      <c r="A110" s="192" t="s">
        <v>0</v>
      </c>
      <c r="B110" s="193" t="s">
        <v>0</v>
      </c>
      <c r="C110" s="193" t="s">
        <v>0</v>
      </c>
      <c r="D110" s="193" t="s">
        <v>0</v>
      </c>
      <c r="E110" s="194"/>
      <c r="F110" s="182"/>
      <c r="G110" s="182"/>
      <c r="H110" s="182"/>
      <c r="I110" s="195"/>
      <c r="J110" s="195"/>
      <c r="K110" s="196"/>
    </row>
    <row r="111" spans="1:11" ht="14.25">
      <c r="A111" s="192" t="s">
        <v>0</v>
      </c>
      <c r="B111" s="193" t="s">
        <v>0</v>
      </c>
      <c r="C111" s="193" t="s">
        <v>364</v>
      </c>
      <c r="D111" s="193" t="s">
        <v>0</v>
      </c>
      <c r="E111" s="194"/>
      <c r="F111" s="182"/>
      <c r="G111" s="182"/>
      <c r="H111" s="182"/>
      <c r="I111" s="195"/>
      <c r="J111" s="195"/>
      <c r="K111" s="196"/>
    </row>
    <row r="112" spans="1:11" ht="14.25">
      <c r="A112" s="192" t="s">
        <v>0</v>
      </c>
      <c r="B112" s="193" t="s">
        <v>0</v>
      </c>
      <c r="C112" s="193" t="s">
        <v>0</v>
      </c>
      <c r="D112" s="193" t="s">
        <v>0</v>
      </c>
      <c r="E112" s="194"/>
      <c r="F112" s="182"/>
      <c r="G112" s="182"/>
      <c r="H112" s="182"/>
      <c r="I112" s="195"/>
      <c r="J112" s="195"/>
      <c r="K112" s="196"/>
    </row>
    <row r="113" spans="1:11" ht="14.25">
      <c r="A113" s="192" t="s">
        <v>363</v>
      </c>
      <c r="B113" s="193" t="s">
        <v>157</v>
      </c>
      <c r="C113" s="193" t="s">
        <v>158</v>
      </c>
      <c r="D113" s="193" t="s">
        <v>5</v>
      </c>
      <c r="E113" s="194">
        <f>11.48</f>
        <v>11.48</v>
      </c>
      <c r="F113" s="182"/>
      <c r="G113" s="182">
        <f>'Phan tich don gia'!G194</f>
        <v>9560</v>
      </c>
      <c r="H113" s="182"/>
      <c r="I113" s="195">
        <f>E113*F113</f>
        <v>0</v>
      </c>
      <c r="J113" s="195">
        <f>E113*G113</f>
        <v>109748.8</v>
      </c>
      <c r="K113" s="196">
        <f>E113*H113</f>
        <v>0</v>
      </c>
    </row>
    <row r="114" spans="1:11" ht="14.25">
      <c r="A114" s="192" t="s">
        <v>0</v>
      </c>
      <c r="B114" s="193" t="s">
        <v>0</v>
      </c>
      <c r="C114" s="193" t="s">
        <v>0</v>
      </c>
      <c r="D114" s="193" t="s">
        <v>0</v>
      </c>
      <c r="E114" s="194"/>
      <c r="F114" s="182"/>
      <c r="G114" s="182"/>
      <c r="H114" s="182"/>
      <c r="I114" s="195"/>
      <c r="J114" s="195"/>
      <c r="K114" s="196"/>
    </row>
    <row r="115" spans="1:11" ht="14.25">
      <c r="A115" s="192" t="s">
        <v>362</v>
      </c>
      <c r="B115" s="193" t="s">
        <v>160</v>
      </c>
      <c r="C115" s="193" t="s">
        <v>161</v>
      </c>
      <c r="D115" s="193" t="s">
        <v>162</v>
      </c>
      <c r="E115" s="194">
        <f>1</f>
        <v>1</v>
      </c>
      <c r="F115" s="182"/>
      <c r="G115" s="182">
        <f>'Phan tich don gia'!G198</f>
        <v>35850</v>
      </c>
      <c r="H115" s="182"/>
      <c r="I115" s="195">
        <f>E115*F115</f>
        <v>0</v>
      </c>
      <c r="J115" s="195">
        <f>E115*G115</f>
        <v>35850</v>
      </c>
      <c r="K115" s="196">
        <f>E115*H115</f>
        <v>0</v>
      </c>
    </row>
    <row r="116" spans="1:11" ht="14.25">
      <c r="A116" s="192" t="s">
        <v>0</v>
      </c>
      <c r="B116" s="193" t="s">
        <v>0</v>
      </c>
      <c r="C116" s="193" t="s">
        <v>0</v>
      </c>
      <c r="D116" s="193" t="s">
        <v>0</v>
      </c>
      <c r="E116" s="194"/>
      <c r="F116" s="182"/>
      <c r="G116" s="182"/>
      <c r="H116" s="182"/>
      <c r="I116" s="195"/>
      <c r="J116" s="195"/>
      <c r="K116" s="196"/>
    </row>
    <row r="117" spans="1:11" ht="14.25">
      <c r="A117" s="192" t="s">
        <v>361</v>
      </c>
      <c r="B117" s="193" t="s">
        <v>164</v>
      </c>
      <c r="C117" s="193" t="s">
        <v>165</v>
      </c>
      <c r="D117" s="193" t="s">
        <v>5</v>
      </c>
      <c r="E117" s="194">
        <f>3.84</f>
        <v>3.84</v>
      </c>
      <c r="F117" s="182">
        <f>'Phan tich don gia'!G202</f>
        <v>11441.46098</v>
      </c>
      <c r="G117" s="182">
        <f>'Phan tich don gia'!G207</f>
        <v>136884.85</v>
      </c>
      <c r="H117" s="182">
        <f>'Phan tich don gia'!G209</f>
        <v>585.8972</v>
      </c>
      <c r="I117" s="195">
        <f>E117*F117</f>
        <v>43935.2101632</v>
      </c>
      <c r="J117" s="195">
        <f>E117*G117</f>
        <v>525637.824</v>
      </c>
      <c r="K117" s="196">
        <f>E117*H117</f>
        <v>2249.845248</v>
      </c>
    </row>
    <row r="118" spans="1:11" ht="14.25">
      <c r="A118" s="192" t="s">
        <v>0</v>
      </c>
      <c r="B118" s="193" t="s">
        <v>0</v>
      </c>
      <c r="C118" s="193" t="s">
        <v>0</v>
      </c>
      <c r="D118" s="193" t="s">
        <v>0</v>
      </c>
      <c r="E118" s="194"/>
      <c r="F118" s="182"/>
      <c r="G118" s="182"/>
      <c r="H118" s="182"/>
      <c r="I118" s="195"/>
      <c r="J118" s="195"/>
      <c r="K118" s="196"/>
    </row>
    <row r="119" spans="1:11" ht="14.25">
      <c r="A119" s="192" t="s">
        <v>360</v>
      </c>
      <c r="B119" s="193" t="s">
        <v>103</v>
      </c>
      <c r="C119" s="193" t="s">
        <v>104</v>
      </c>
      <c r="D119" s="193" t="s">
        <v>5</v>
      </c>
      <c r="E119" s="194">
        <f>3.84</f>
        <v>3.84</v>
      </c>
      <c r="F119" s="182">
        <f>'Phan tich don gia'!G148</f>
        <v>52506.24824</v>
      </c>
      <c r="G119" s="182">
        <f>'Phan tich don gia'!G152</f>
        <v>19167.2</v>
      </c>
      <c r="H119" s="182"/>
      <c r="I119" s="195">
        <f>E119*F119</f>
        <v>201623.9932416</v>
      </c>
      <c r="J119" s="195">
        <f>E119*G119</f>
        <v>73602.048</v>
      </c>
      <c r="K119" s="196">
        <f>E119*H119</f>
        <v>0</v>
      </c>
    </row>
    <row r="120" spans="1:11" ht="14.25">
      <c r="A120" s="192" t="s">
        <v>0</v>
      </c>
      <c r="B120" s="193" t="s">
        <v>0</v>
      </c>
      <c r="C120" s="193" t="s">
        <v>105</v>
      </c>
      <c r="D120" s="193" t="s">
        <v>0</v>
      </c>
      <c r="E120" s="194"/>
      <c r="F120" s="182"/>
      <c r="G120" s="182"/>
      <c r="H120" s="182"/>
      <c r="I120" s="195"/>
      <c r="J120" s="195"/>
      <c r="K120" s="196"/>
    </row>
    <row r="121" spans="1:11" ht="14.25">
      <c r="A121" s="192" t="s">
        <v>359</v>
      </c>
      <c r="B121" s="193" t="s">
        <v>168</v>
      </c>
      <c r="C121" s="193" t="s">
        <v>169</v>
      </c>
      <c r="D121" s="193" t="s">
        <v>19</v>
      </c>
      <c r="E121" s="194">
        <f>11.48</f>
        <v>11.48</v>
      </c>
      <c r="F121" s="182">
        <f>'Phan tich don gia'!G214</f>
        <v>2389335</v>
      </c>
      <c r="G121" s="182"/>
      <c r="H121" s="182"/>
      <c r="I121" s="195">
        <f>E121*F121</f>
        <v>27429565.8</v>
      </c>
      <c r="J121" s="195">
        <f>E121*G121</f>
        <v>0</v>
      </c>
      <c r="K121" s="196">
        <f>E121*H121</f>
        <v>0</v>
      </c>
    </row>
    <row r="122" spans="1:11" ht="14.25">
      <c r="A122" s="192" t="s">
        <v>0</v>
      </c>
      <c r="B122" s="193" t="s">
        <v>0</v>
      </c>
      <c r="C122" s="193" t="s">
        <v>170</v>
      </c>
      <c r="D122" s="193" t="s">
        <v>0</v>
      </c>
      <c r="E122" s="194"/>
      <c r="F122" s="182"/>
      <c r="G122" s="182"/>
      <c r="H122" s="182"/>
      <c r="I122" s="195"/>
      <c r="J122" s="195"/>
      <c r="K122" s="196"/>
    </row>
    <row r="123" spans="1:11" ht="14.25">
      <c r="A123" s="192" t="s">
        <v>358</v>
      </c>
      <c r="B123" s="193" t="s">
        <v>173</v>
      </c>
      <c r="C123" s="193" t="s">
        <v>174</v>
      </c>
      <c r="D123" s="193" t="s">
        <v>175</v>
      </c>
      <c r="E123" s="194">
        <f>8</f>
        <v>8</v>
      </c>
      <c r="F123" s="182">
        <f>'Phan tich don gia'!G218</f>
        <v>2121800</v>
      </c>
      <c r="G123" s="182"/>
      <c r="H123" s="182"/>
      <c r="I123" s="195">
        <f>E123*F123</f>
        <v>16974400</v>
      </c>
      <c r="J123" s="195">
        <f>E123*G123</f>
        <v>0</v>
      </c>
      <c r="K123" s="196">
        <f>E123*H123</f>
        <v>0</v>
      </c>
    </row>
    <row r="124" spans="1:11" ht="14.25">
      <c r="A124" s="192" t="s">
        <v>0</v>
      </c>
      <c r="B124" s="193" t="s">
        <v>0</v>
      </c>
      <c r="C124" s="193" t="s">
        <v>0</v>
      </c>
      <c r="D124" s="193" t="s">
        <v>0</v>
      </c>
      <c r="E124" s="194"/>
      <c r="F124" s="182"/>
      <c r="G124" s="182"/>
      <c r="H124" s="182"/>
      <c r="I124" s="195"/>
      <c r="J124" s="195"/>
      <c r="K124" s="196"/>
    </row>
    <row r="125" spans="1:11" ht="14.25">
      <c r="A125" s="192" t="s">
        <v>357</v>
      </c>
      <c r="B125" s="193" t="s">
        <v>178</v>
      </c>
      <c r="C125" s="193" t="s">
        <v>179</v>
      </c>
      <c r="D125" s="193" t="s">
        <v>180</v>
      </c>
      <c r="E125" s="194">
        <f>1</f>
        <v>1</v>
      </c>
      <c r="F125" s="182">
        <f>'Phan tich don gia'!G221</f>
        <v>450045</v>
      </c>
      <c r="G125" s="182">
        <f>'Phan tich don gia'!G224</f>
        <v>378300</v>
      </c>
      <c r="H125" s="182"/>
      <c r="I125" s="195">
        <f>E125*F125</f>
        <v>450045</v>
      </c>
      <c r="J125" s="195">
        <f>E125*G125</f>
        <v>378300</v>
      </c>
      <c r="K125" s="196">
        <f>E125*H125</f>
        <v>0</v>
      </c>
    </row>
    <row r="126" spans="1:11" ht="14.25">
      <c r="A126" s="192" t="s">
        <v>0</v>
      </c>
      <c r="B126" s="193" t="s">
        <v>0</v>
      </c>
      <c r="C126" s="193" t="s">
        <v>0</v>
      </c>
      <c r="D126" s="193" t="s">
        <v>0</v>
      </c>
      <c r="E126" s="194"/>
      <c r="F126" s="182"/>
      <c r="G126" s="182"/>
      <c r="H126" s="182"/>
      <c r="I126" s="195"/>
      <c r="J126" s="195"/>
      <c r="K126" s="196"/>
    </row>
    <row r="127" spans="1:11" ht="14.25">
      <c r="A127" s="197" t="s">
        <v>31</v>
      </c>
      <c r="B127" s="198" t="s">
        <v>0</v>
      </c>
      <c r="C127" s="198" t="s">
        <v>182</v>
      </c>
      <c r="D127" s="198" t="s">
        <v>0</v>
      </c>
      <c r="E127" s="199"/>
      <c r="F127" s="200"/>
      <c r="G127" s="200"/>
      <c r="H127" s="200"/>
      <c r="I127" s="201">
        <f>SUM(I128:I179)</f>
        <v>7956420.464211801</v>
      </c>
      <c r="J127" s="201">
        <f>SUM(J128:J179)</f>
        <v>4911752.3691</v>
      </c>
      <c r="K127" s="202">
        <f>SUM(K128:K179)</f>
        <v>357009.43434355996</v>
      </c>
    </row>
    <row r="128" spans="1:11" ht="14.25">
      <c r="A128" s="192" t="s">
        <v>0</v>
      </c>
      <c r="B128" s="193" t="s">
        <v>0</v>
      </c>
      <c r="C128" s="193" t="s">
        <v>0</v>
      </c>
      <c r="D128" s="193" t="s">
        <v>0</v>
      </c>
      <c r="E128" s="194"/>
      <c r="F128" s="182"/>
      <c r="G128" s="182"/>
      <c r="H128" s="182"/>
      <c r="I128" s="195"/>
      <c r="J128" s="195"/>
      <c r="K128" s="196"/>
    </row>
    <row r="129" spans="1:11" ht="14.25">
      <c r="A129" s="192" t="s">
        <v>0</v>
      </c>
      <c r="B129" s="193" t="s">
        <v>0</v>
      </c>
      <c r="C129" s="193" t="s">
        <v>356</v>
      </c>
      <c r="D129" s="193" t="s">
        <v>0</v>
      </c>
      <c r="E129" s="194"/>
      <c r="F129" s="182"/>
      <c r="G129" s="182"/>
      <c r="H129" s="182"/>
      <c r="I129" s="195"/>
      <c r="J129" s="195"/>
      <c r="K129" s="196"/>
    </row>
    <row r="130" spans="1:11" ht="14.25">
      <c r="A130" s="192" t="s">
        <v>0</v>
      </c>
      <c r="B130" s="193" t="s">
        <v>0</v>
      </c>
      <c r="C130" s="193" t="s">
        <v>0</v>
      </c>
      <c r="D130" s="193" t="s">
        <v>0</v>
      </c>
      <c r="E130" s="194"/>
      <c r="F130" s="182"/>
      <c r="G130" s="182"/>
      <c r="H130" s="182"/>
      <c r="I130" s="195"/>
      <c r="J130" s="195"/>
      <c r="K130" s="196"/>
    </row>
    <row r="131" spans="1:11" ht="14.25">
      <c r="A131" s="192" t="s">
        <v>355</v>
      </c>
      <c r="B131" s="193" t="s">
        <v>184</v>
      </c>
      <c r="C131" s="193" t="s">
        <v>185</v>
      </c>
      <c r="D131" s="193" t="s">
        <v>24</v>
      </c>
      <c r="E131" s="194">
        <f>8</f>
        <v>8</v>
      </c>
      <c r="F131" s="182"/>
      <c r="G131" s="182">
        <f>'Phan tich don gia'!G229</f>
        <v>10075.57912</v>
      </c>
      <c r="H131" s="182">
        <f>'Phan tich don gia'!G231</f>
        <v>16283.15579</v>
      </c>
      <c r="I131" s="195">
        <f>E131*F131</f>
        <v>0</v>
      </c>
      <c r="J131" s="195">
        <f>E131*G131</f>
        <v>80604.63296</v>
      </c>
      <c r="K131" s="196">
        <f>E131*H131</f>
        <v>130265.24632</v>
      </c>
    </row>
    <row r="132" spans="1:11" ht="14.25">
      <c r="A132" s="192" t="s">
        <v>0</v>
      </c>
      <c r="B132" s="193" t="s">
        <v>0</v>
      </c>
      <c r="C132" s="193" t="s">
        <v>186</v>
      </c>
      <c r="D132" s="193" t="s">
        <v>0</v>
      </c>
      <c r="E132" s="194"/>
      <c r="F132" s="182"/>
      <c r="G132" s="182"/>
      <c r="H132" s="182"/>
      <c r="I132" s="195"/>
      <c r="J132" s="195"/>
      <c r="K132" s="196"/>
    </row>
    <row r="133" spans="1:11" ht="14.25">
      <c r="A133" s="192" t="s">
        <v>354</v>
      </c>
      <c r="B133" s="193" t="s">
        <v>189</v>
      </c>
      <c r="C133" s="193" t="s">
        <v>190</v>
      </c>
      <c r="D133" s="193" t="s">
        <v>24</v>
      </c>
      <c r="E133" s="194">
        <f>0.1</f>
        <v>0.1</v>
      </c>
      <c r="F133" s="182"/>
      <c r="G133" s="182">
        <f>'Phan tich don gia'!G235</f>
        <v>271013.408</v>
      </c>
      <c r="H133" s="182"/>
      <c r="I133" s="195">
        <f>E133*F133</f>
        <v>0</v>
      </c>
      <c r="J133" s="195">
        <f>E133*G133</f>
        <v>27101.3408</v>
      </c>
      <c r="K133" s="196">
        <f>E133*H133</f>
        <v>0</v>
      </c>
    </row>
    <row r="134" spans="1:11" ht="14.25">
      <c r="A134" s="192" t="s">
        <v>0</v>
      </c>
      <c r="B134" s="193" t="s">
        <v>0</v>
      </c>
      <c r="C134" s="193" t="s">
        <v>0</v>
      </c>
      <c r="D134" s="193" t="s">
        <v>0</v>
      </c>
      <c r="E134" s="194"/>
      <c r="F134" s="182"/>
      <c r="G134" s="182"/>
      <c r="H134" s="182"/>
      <c r="I134" s="195"/>
      <c r="J134" s="195"/>
      <c r="K134" s="196"/>
    </row>
    <row r="135" spans="1:11" ht="14.25">
      <c r="A135" s="192" t="s">
        <v>353</v>
      </c>
      <c r="B135" s="193" t="s">
        <v>27</v>
      </c>
      <c r="C135" s="193" t="s">
        <v>28</v>
      </c>
      <c r="D135" s="193" t="s">
        <v>24</v>
      </c>
      <c r="E135" s="194">
        <f>0.7</f>
        <v>0.7</v>
      </c>
      <c r="F135" s="182"/>
      <c r="G135" s="182">
        <f>'Phan tich don gia'!G34</f>
        <v>13528.81448</v>
      </c>
      <c r="H135" s="182">
        <f>'Phan tich don gia'!G36</f>
        <v>14494.76181</v>
      </c>
      <c r="I135" s="195">
        <f>E135*F135</f>
        <v>0</v>
      </c>
      <c r="J135" s="195">
        <f>E135*G135</f>
        <v>9470.170135999999</v>
      </c>
      <c r="K135" s="196">
        <f>E135*H135</f>
        <v>10146.333267</v>
      </c>
    </row>
    <row r="136" spans="1:11" ht="14.25">
      <c r="A136" s="192" t="s">
        <v>0</v>
      </c>
      <c r="B136" s="193" t="s">
        <v>0</v>
      </c>
      <c r="C136" s="193" t="s">
        <v>29</v>
      </c>
      <c r="D136" s="193" t="s">
        <v>0</v>
      </c>
      <c r="E136" s="194"/>
      <c r="F136" s="182"/>
      <c r="G136" s="182"/>
      <c r="H136" s="182"/>
      <c r="I136" s="195"/>
      <c r="J136" s="195"/>
      <c r="K136" s="196"/>
    </row>
    <row r="137" spans="1:11" ht="14.25">
      <c r="A137" s="192" t="s">
        <v>352</v>
      </c>
      <c r="B137" s="193" t="s">
        <v>193</v>
      </c>
      <c r="C137" s="193" t="s">
        <v>194</v>
      </c>
      <c r="D137" s="193" t="s">
        <v>5</v>
      </c>
      <c r="E137" s="194">
        <f>4.36</f>
        <v>4.36</v>
      </c>
      <c r="F137" s="182">
        <f>'Phan tich don gia'!G239</f>
        <v>57335.86362</v>
      </c>
      <c r="G137" s="182">
        <f>'Phan tich don gia'!G245</f>
        <v>34324.42</v>
      </c>
      <c r="H137" s="182"/>
      <c r="I137" s="195">
        <f>E137*F137</f>
        <v>249984.3653832</v>
      </c>
      <c r="J137" s="195">
        <f>E137*G137</f>
        <v>149654.4712</v>
      </c>
      <c r="K137" s="196">
        <f>E137*H137</f>
        <v>0</v>
      </c>
    </row>
    <row r="138" spans="1:11" ht="14.25">
      <c r="A138" s="192" t="s">
        <v>0</v>
      </c>
      <c r="B138" s="193" t="s">
        <v>0</v>
      </c>
      <c r="C138" s="193" t="s">
        <v>0</v>
      </c>
      <c r="D138" s="193" t="s">
        <v>0</v>
      </c>
      <c r="E138" s="194"/>
      <c r="F138" s="182"/>
      <c r="G138" s="182"/>
      <c r="H138" s="182"/>
      <c r="I138" s="195"/>
      <c r="J138" s="195"/>
      <c r="K138" s="196"/>
    </row>
    <row r="139" spans="1:11" ht="14.25">
      <c r="A139" s="192" t="s">
        <v>351</v>
      </c>
      <c r="B139" s="193" t="s">
        <v>40</v>
      </c>
      <c r="C139" s="193" t="s">
        <v>41</v>
      </c>
      <c r="D139" s="193" t="s">
        <v>24</v>
      </c>
      <c r="E139" s="194">
        <f>1</f>
        <v>1</v>
      </c>
      <c r="F139" s="182">
        <f>'Phan tich don gia'!G51</f>
        <v>786715.4784</v>
      </c>
      <c r="G139" s="182">
        <f>'Phan tich don gia'!G56</f>
        <v>246774.421</v>
      </c>
      <c r="H139" s="182">
        <f>'Phan tich don gia'!G58</f>
        <v>54409.0095</v>
      </c>
      <c r="I139" s="195">
        <f>E139*F139</f>
        <v>786715.4784</v>
      </c>
      <c r="J139" s="195">
        <f>E139*G139</f>
        <v>246774.421</v>
      </c>
      <c r="K139" s="196">
        <f>E139*H139</f>
        <v>54409.0095</v>
      </c>
    </row>
    <row r="140" spans="1:11" ht="14.25">
      <c r="A140" s="192" t="s">
        <v>0</v>
      </c>
      <c r="B140" s="193" t="s">
        <v>0</v>
      </c>
      <c r="C140" s="193" t="s">
        <v>42</v>
      </c>
      <c r="D140" s="193" t="s">
        <v>0</v>
      </c>
      <c r="E140" s="194"/>
      <c r="F140" s="182"/>
      <c r="G140" s="182"/>
      <c r="H140" s="182"/>
      <c r="I140" s="195"/>
      <c r="J140" s="195"/>
      <c r="K140" s="196"/>
    </row>
    <row r="141" spans="1:11" ht="14.25">
      <c r="A141" s="192" t="s">
        <v>350</v>
      </c>
      <c r="B141" s="193" t="s">
        <v>197</v>
      </c>
      <c r="C141" s="193" t="s">
        <v>198</v>
      </c>
      <c r="D141" s="193" t="s">
        <v>24</v>
      </c>
      <c r="E141" s="194">
        <f>1.2</f>
        <v>1.2</v>
      </c>
      <c r="F141" s="182">
        <f>'Phan tich don gia'!G249</f>
        <v>904095.51168</v>
      </c>
      <c r="G141" s="182">
        <f>'Phan tich don gia'!G255</f>
        <v>274450.057</v>
      </c>
      <c r="H141" s="182">
        <f>'Phan tich don gia'!G257</f>
        <v>54409.0095</v>
      </c>
      <c r="I141" s="195">
        <f>E141*F141</f>
        <v>1084914.614016</v>
      </c>
      <c r="J141" s="195">
        <f>E141*G141</f>
        <v>329340.06839999993</v>
      </c>
      <c r="K141" s="196">
        <f>E141*H141</f>
        <v>65290.8114</v>
      </c>
    </row>
    <row r="142" spans="1:11" ht="14.25">
      <c r="A142" s="192" t="s">
        <v>0</v>
      </c>
      <c r="B142" s="193" t="s">
        <v>0</v>
      </c>
      <c r="C142" s="193" t="s">
        <v>0</v>
      </c>
      <c r="D142" s="193" t="s">
        <v>0</v>
      </c>
      <c r="E142" s="194"/>
      <c r="F142" s="182"/>
      <c r="G142" s="182"/>
      <c r="H142" s="182"/>
      <c r="I142" s="195"/>
      <c r="J142" s="195"/>
      <c r="K142" s="196"/>
    </row>
    <row r="143" spans="1:11" ht="14.25">
      <c r="A143" s="192" t="s">
        <v>349</v>
      </c>
      <c r="B143" s="193" t="s">
        <v>201</v>
      </c>
      <c r="C143" s="193" t="s">
        <v>202</v>
      </c>
      <c r="D143" s="193" t="s">
        <v>203</v>
      </c>
      <c r="E143" s="194">
        <f>0.048</f>
        <v>0.048</v>
      </c>
      <c r="F143" s="182">
        <f>'Phan tich don gia'!G263</f>
        <v>16592387.5</v>
      </c>
      <c r="G143" s="182">
        <f>'Phan tich don gia'!G266</f>
        <v>4655612</v>
      </c>
      <c r="H143" s="182">
        <f>'Phan tich don gia'!G268</f>
        <v>111746.08</v>
      </c>
      <c r="I143" s="195">
        <f>E143*F143</f>
        <v>796434.6</v>
      </c>
      <c r="J143" s="195">
        <f>E143*G143</f>
        <v>223469.37600000002</v>
      </c>
      <c r="K143" s="196">
        <f>E143*H143</f>
        <v>5363.81184</v>
      </c>
    </row>
    <row r="144" spans="1:11" ht="14.25">
      <c r="A144" s="192" t="s">
        <v>0</v>
      </c>
      <c r="B144" s="193" t="s">
        <v>0</v>
      </c>
      <c r="C144" s="193" t="s">
        <v>204</v>
      </c>
      <c r="D144" s="193" t="s">
        <v>0</v>
      </c>
      <c r="E144" s="194"/>
      <c r="F144" s="182"/>
      <c r="G144" s="182"/>
      <c r="H144" s="182"/>
      <c r="I144" s="195"/>
      <c r="J144" s="195"/>
      <c r="K144" s="196"/>
    </row>
    <row r="145" spans="1:11" ht="14.25">
      <c r="A145" s="192" t="s">
        <v>348</v>
      </c>
      <c r="B145" s="193" t="s">
        <v>209</v>
      </c>
      <c r="C145" s="193" t="s">
        <v>210</v>
      </c>
      <c r="D145" s="193" t="s">
        <v>5</v>
      </c>
      <c r="E145" s="194">
        <f>6.48</f>
        <v>6.48</v>
      </c>
      <c r="F145" s="182">
        <f>'Phan tich don gia'!G272</f>
        <v>82502.61895</v>
      </c>
      <c r="G145" s="182">
        <f>'Phan tich don gia'!G278</f>
        <v>69355</v>
      </c>
      <c r="H145" s="182"/>
      <c r="I145" s="195">
        <f>E145*F145</f>
        <v>534616.9707960001</v>
      </c>
      <c r="J145" s="195">
        <f>E145*G145</f>
        <v>449420.4</v>
      </c>
      <c r="K145" s="196">
        <f>E145*H145</f>
        <v>0</v>
      </c>
    </row>
    <row r="146" spans="1:11" ht="14.25">
      <c r="A146" s="192" t="s">
        <v>0</v>
      </c>
      <c r="B146" s="193" t="s">
        <v>0</v>
      </c>
      <c r="C146" s="193" t="s">
        <v>0</v>
      </c>
      <c r="D146" s="193" t="s">
        <v>0</v>
      </c>
      <c r="E146" s="194"/>
      <c r="F146" s="182"/>
      <c r="G146" s="182"/>
      <c r="H146" s="182"/>
      <c r="I146" s="195"/>
      <c r="J146" s="195"/>
      <c r="K146" s="196"/>
    </row>
    <row r="147" spans="1:11" ht="14.25">
      <c r="A147" s="192" t="s">
        <v>347</v>
      </c>
      <c r="B147" s="193" t="s">
        <v>212</v>
      </c>
      <c r="C147" s="193" t="s">
        <v>213</v>
      </c>
      <c r="D147" s="193" t="s">
        <v>24</v>
      </c>
      <c r="E147" s="194">
        <f>0.542</f>
        <v>0.542</v>
      </c>
      <c r="F147" s="182">
        <f>'Phan tich don gia'!G283</f>
        <v>967065.00444</v>
      </c>
      <c r="G147" s="182">
        <f>'Phan tich don gia'!G289</f>
        <v>615782.901</v>
      </c>
      <c r="H147" s="182">
        <f>'Phan tich don gia'!G291</f>
        <v>79769.1195</v>
      </c>
      <c r="I147" s="195">
        <f>E147*F147</f>
        <v>524149.23240648006</v>
      </c>
      <c r="J147" s="195">
        <f>E147*G147</f>
        <v>333754.332342</v>
      </c>
      <c r="K147" s="196">
        <f>E147*H147</f>
        <v>43234.86276900001</v>
      </c>
    </row>
    <row r="148" spans="1:11" ht="14.25">
      <c r="A148" s="192" t="s">
        <v>0</v>
      </c>
      <c r="B148" s="193" t="s">
        <v>0</v>
      </c>
      <c r="C148" s="193" t="s">
        <v>214</v>
      </c>
      <c r="D148" s="193" t="s">
        <v>0</v>
      </c>
      <c r="E148" s="194"/>
      <c r="F148" s="182"/>
      <c r="G148" s="182"/>
      <c r="H148" s="182"/>
      <c r="I148" s="195"/>
      <c r="J148" s="195"/>
      <c r="K148" s="196"/>
    </row>
    <row r="149" spans="1:11" ht="14.25">
      <c r="A149" s="192" t="s">
        <v>346</v>
      </c>
      <c r="B149" s="193" t="s">
        <v>50</v>
      </c>
      <c r="C149" s="193" t="s">
        <v>51</v>
      </c>
      <c r="D149" s="193" t="s">
        <v>24</v>
      </c>
      <c r="E149" s="194">
        <f>2.376</f>
        <v>2.376</v>
      </c>
      <c r="F149" s="182">
        <f>'Phan tich don gia'!G64</f>
        <v>1344972.29353</v>
      </c>
      <c r="G149" s="182">
        <f>'Phan tich don gia'!G70</f>
        <v>622934</v>
      </c>
      <c r="H149" s="182">
        <f>'Phan tich don gia'!G72</f>
        <v>10304.46701</v>
      </c>
      <c r="I149" s="195">
        <f>E149*F149</f>
        <v>3195654.16942728</v>
      </c>
      <c r="J149" s="195">
        <f>E149*G149</f>
        <v>1480091.184</v>
      </c>
      <c r="K149" s="196">
        <f>E149*H149</f>
        <v>24483.41361576</v>
      </c>
    </row>
    <row r="150" spans="1:11" ht="14.25">
      <c r="A150" s="192" t="s">
        <v>0</v>
      </c>
      <c r="B150" s="193" t="s">
        <v>0</v>
      </c>
      <c r="C150" s="193" t="s">
        <v>217</v>
      </c>
      <c r="D150" s="193" t="s">
        <v>0</v>
      </c>
      <c r="E150" s="194"/>
      <c r="F150" s="182"/>
      <c r="G150" s="182"/>
      <c r="H150" s="182"/>
      <c r="I150" s="195"/>
      <c r="J150" s="195"/>
      <c r="K150" s="196"/>
    </row>
    <row r="151" spans="1:11" ht="14.25">
      <c r="A151" s="192" t="s">
        <v>345</v>
      </c>
      <c r="B151" s="193" t="s">
        <v>92</v>
      </c>
      <c r="C151" s="193" t="s">
        <v>93</v>
      </c>
      <c r="D151" s="193" t="s">
        <v>5</v>
      </c>
      <c r="E151" s="194">
        <f>13.104</f>
        <v>13.104</v>
      </c>
      <c r="F151" s="182">
        <f>'Phan tich don gia'!G124</f>
        <v>14961.91052</v>
      </c>
      <c r="G151" s="182">
        <f>'Phan tich don gia'!G129</f>
        <v>65572</v>
      </c>
      <c r="H151" s="182">
        <f>'Phan tich don gia'!G131</f>
        <v>585.8972</v>
      </c>
      <c r="I151" s="195">
        <f>E151*F151</f>
        <v>196060.87545407997</v>
      </c>
      <c r="J151" s="195">
        <f>E151*G151</f>
        <v>859255.4879999999</v>
      </c>
      <c r="K151" s="196">
        <f>E151*H151</f>
        <v>7677.596908799999</v>
      </c>
    </row>
    <row r="152" spans="1:11" ht="14.25">
      <c r="A152" s="192" t="s">
        <v>0</v>
      </c>
      <c r="B152" s="193" t="s">
        <v>0</v>
      </c>
      <c r="C152" s="193" t="s">
        <v>0</v>
      </c>
      <c r="D152" s="193" t="s">
        <v>0</v>
      </c>
      <c r="E152" s="194"/>
      <c r="F152" s="182"/>
      <c r="G152" s="182"/>
      <c r="H152" s="182"/>
      <c r="I152" s="195"/>
      <c r="J152" s="195"/>
      <c r="K152" s="196"/>
    </row>
    <row r="153" spans="1:11" ht="14.25">
      <c r="A153" s="192" t="s">
        <v>344</v>
      </c>
      <c r="B153" s="193" t="s">
        <v>220</v>
      </c>
      <c r="C153" s="193" t="s">
        <v>221</v>
      </c>
      <c r="D153" s="193" t="s">
        <v>5</v>
      </c>
      <c r="E153" s="194">
        <f>4</f>
        <v>4</v>
      </c>
      <c r="F153" s="182">
        <f>'Phan tich don gia'!G297</f>
        <v>21092.23052</v>
      </c>
      <c r="G153" s="182">
        <f>'Phan tich don gia'!G302</f>
        <v>24913.0427</v>
      </c>
      <c r="H153" s="182">
        <f>'Phan tich don gia'!G304</f>
        <v>1171.7944</v>
      </c>
      <c r="I153" s="195">
        <f>E153*F153</f>
        <v>84368.92208</v>
      </c>
      <c r="J153" s="195">
        <f>E153*G153</f>
        <v>99652.1708</v>
      </c>
      <c r="K153" s="196">
        <f>E153*H153</f>
        <v>4687.1776</v>
      </c>
    </row>
    <row r="154" spans="1:11" ht="14.25">
      <c r="A154" s="192" t="s">
        <v>0</v>
      </c>
      <c r="B154" s="193" t="s">
        <v>0</v>
      </c>
      <c r="C154" s="193" t="s">
        <v>222</v>
      </c>
      <c r="D154" s="193" t="s">
        <v>0</v>
      </c>
      <c r="E154" s="194"/>
      <c r="F154" s="182"/>
      <c r="G154" s="182"/>
      <c r="H154" s="182"/>
      <c r="I154" s="195"/>
      <c r="J154" s="195"/>
      <c r="K154" s="196"/>
    </row>
    <row r="155" spans="1:11" ht="14.25">
      <c r="A155" s="192" t="s">
        <v>343</v>
      </c>
      <c r="B155" s="193" t="s">
        <v>224</v>
      </c>
      <c r="C155" s="193" t="s">
        <v>225</v>
      </c>
      <c r="D155" s="193" t="s">
        <v>5</v>
      </c>
      <c r="E155" s="194">
        <f>2.16</f>
        <v>2.16</v>
      </c>
      <c r="F155" s="182">
        <f>'Phan tich don gia'!G309</f>
        <v>66356.02441</v>
      </c>
      <c r="G155" s="182">
        <f>'Phan tich don gia'!G315</f>
        <v>71801.34</v>
      </c>
      <c r="H155" s="182"/>
      <c r="I155" s="195">
        <f>E155*F155</f>
        <v>143329.0127256</v>
      </c>
      <c r="J155" s="195">
        <f>E155*G155</f>
        <v>155090.8944</v>
      </c>
      <c r="K155" s="196">
        <f>E155*H155</f>
        <v>0</v>
      </c>
    </row>
    <row r="156" spans="1:11" ht="14.25">
      <c r="A156" s="192" t="s">
        <v>0</v>
      </c>
      <c r="B156" s="193" t="s">
        <v>0</v>
      </c>
      <c r="C156" s="193" t="s">
        <v>226</v>
      </c>
      <c r="D156" s="193" t="s">
        <v>0</v>
      </c>
      <c r="E156" s="194"/>
      <c r="F156" s="182"/>
      <c r="G156" s="182"/>
      <c r="H156" s="182"/>
      <c r="I156" s="195"/>
      <c r="J156" s="195"/>
      <c r="K156" s="196"/>
    </row>
    <row r="157" spans="1:11" ht="14.25">
      <c r="A157" s="192" t="s">
        <v>342</v>
      </c>
      <c r="B157" s="193" t="s">
        <v>228</v>
      </c>
      <c r="C157" s="193" t="s">
        <v>229</v>
      </c>
      <c r="D157" s="193" t="s">
        <v>230</v>
      </c>
      <c r="E157" s="194">
        <f>0.378</f>
        <v>0.378</v>
      </c>
      <c r="F157" s="182">
        <f>'Phan tich don gia'!G320</f>
        <v>952889.48022</v>
      </c>
      <c r="G157" s="182">
        <f>'Phan tich don gia'!G326</f>
        <v>445116.479</v>
      </c>
      <c r="H157" s="182">
        <f>'Phan tich don gia'!G328</f>
        <v>30294.1035</v>
      </c>
      <c r="I157" s="195">
        <f>E157*F157</f>
        <v>360192.22352316004</v>
      </c>
      <c r="J157" s="195">
        <f>E157*G157</f>
        <v>168254.029062</v>
      </c>
      <c r="K157" s="196">
        <f>E157*H157</f>
        <v>11451.171123</v>
      </c>
    </row>
    <row r="158" spans="1:11" ht="14.25">
      <c r="A158" s="192" t="s">
        <v>0</v>
      </c>
      <c r="B158" s="193" t="s">
        <v>0</v>
      </c>
      <c r="C158" s="193" t="s">
        <v>231</v>
      </c>
      <c r="D158" s="193" t="s">
        <v>0</v>
      </c>
      <c r="E158" s="194"/>
      <c r="F158" s="182"/>
      <c r="G158" s="182"/>
      <c r="H158" s="182"/>
      <c r="I158" s="195"/>
      <c r="J158" s="195"/>
      <c r="K158" s="196"/>
    </row>
    <row r="159" spans="1:11" ht="14.25">
      <c r="A159" s="192" t="s">
        <v>341</v>
      </c>
      <c r="B159" s="193" t="s">
        <v>233</v>
      </c>
      <c r="C159" s="193" t="s">
        <v>234</v>
      </c>
      <c r="D159" s="193" t="s">
        <v>235</v>
      </c>
      <c r="E159" s="194">
        <f>10</f>
        <v>10</v>
      </c>
      <c r="F159" s="182"/>
      <c r="G159" s="182">
        <f>'Phan tich don gia'!G333</f>
        <v>29981.939</v>
      </c>
      <c r="H159" s="182"/>
      <c r="I159" s="195">
        <f>E159*F159</f>
        <v>0</v>
      </c>
      <c r="J159" s="195">
        <f>E159*G159</f>
        <v>299819.39</v>
      </c>
      <c r="K159" s="196">
        <f>E159*H159</f>
        <v>0</v>
      </c>
    </row>
    <row r="160" spans="1:11" ht="14.25">
      <c r="A160" s="192" t="s">
        <v>0</v>
      </c>
      <c r="B160" s="193" t="s">
        <v>0</v>
      </c>
      <c r="C160" s="193" t="s">
        <v>236</v>
      </c>
      <c r="D160" s="193" t="s">
        <v>0</v>
      </c>
      <c r="E160" s="194"/>
      <c r="F160" s="182"/>
      <c r="G160" s="182"/>
      <c r="H160" s="182"/>
      <c r="I160" s="195"/>
      <c r="J160" s="195"/>
      <c r="K160" s="196"/>
    </row>
    <row r="161" spans="1:11" ht="14.25">
      <c r="A161" s="192" t="s">
        <v>0</v>
      </c>
      <c r="B161" s="193" t="s">
        <v>0</v>
      </c>
      <c r="C161" s="193" t="s">
        <v>0</v>
      </c>
      <c r="D161" s="193" t="s">
        <v>0</v>
      </c>
      <c r="E161" s="194"/>
      <c r="F161" s="182"/>
      <c r="G161" s="182"/>
      <c r="H161" s="182"/>
      <c r="I161" s="195"/>
      <c r="J161" s="195"/>
      <c r="K161" s="196"/>
    </row>
    <row r="162" spans="1:11" ht="14.25" hidden="1">
      <c r="A162" s="192" t="s">
        <v>0</v>
      </c>
      <c r="B162" s="193" t="s">
        <v>0</v>
      </c>
      <c r="C162" s="193" t="s">
        <v>340</v>
      </c>
      <c r="D162" s="193" t="s">
        <v>0</v>
      </c>
      <c r="E162" s="194"/>
      <c r="F162" s="182"/>
      <c r="G162" s="182"/>
      <c r="H162" s="182"/>
      <c r="I162" s="195"/>
      <c r="J162" s="195"/>
      <c r="K162" s="196"/>
    </row>
    <row r="163" spans="1:11" ht="14.25" hidden="1">
      <c r="A163" s="192" t="s">
        <v>0</v>
      </c>
      <c r="B163" s="193" t="s">
        <v>0</v>
      </c>
      <c r="C163" s="193" t="s">
        <v>0</v>
      </c>
      <c r="D163" s="193" t="s">
        <v>0</v>
      </c>
      <c r="E163" s="194"/>
      <c r="F163" s="182"/>
      <c r="G163" s="182"/>
      <c r="H163" s="182"/>
      <c r="I163" s="195"/>
      <c r="J163" s="195"/>
      <c r="K163" s="196"/>
    </row>
    <row r="164" spans="1:11" ht="14.25" hidden="1">
      <c r="A164" s="192" t="s">
        <v>339</v>
      </c>
      <c r="B164" s="193" t="s">
        <v>238</v>
      </c>
      <c r="C164" s="193" t="s">
        <v>239</v>
      </c>
      <c r="D164" s="193" t="s">
        <v>240</v>
      </c>
      <c r="E164" s="194"/>
      <c r="F164" s="182"/>
      <c r="G164" s="182">
        <f>'Phan tich don gia'!G338</f>
        <v>67753.352</v>
      </c>
      <c r="H164" s="182"/>
      <c r="I164" s="195">
        <f>E164*F164</f>
        <v>0</v>
      </c>
      <c r="J164" s="195">
        <f>E164*G164</f>
        <v>0</v>
      </c>
      <c r="K164" s="196">
        <f>E164*H164</f>
        <v>0</v>
      </c>
    </row>
    <row r="165" spans="1:11" ht="14.25" hidden="1">
      <c r="A165" s="192" t="s">
        <v>0</v>
      </c>
      <c r="B165" s="193" t="s">
        <v>0</v>
      </c>
      <c r="C165" s="193" t="s">
        <v>241</v>
      </c>
      <c r="D165" s="193" t="s">
        <v>0</v>
      </c>
      <c r="E165" s="194"/>
      <c r="F165" s="182"/>
      <c r="G165" s="182"/>
      <c r="H165" s="182"/>
      <c r="I165" s="195"/>
      <c r="J165" s="195"/>
      <c r="K165" s="196"/>
    </row>
    <row r="166" spans="1:11" ht="14.25" hidden="1">
      <c r="A166" s="192" t="s">
        <v>338</v>
      </c>
      <c r="B166" s="193" t="s">
        <v>243</v>
      </c>
      <c r="C166" s="193" t="s">
        <v>244</v>
      </c>
      <c r="D166" s="193" t="s">
        <v>24</v>
      </c>
      <c r="E166" s="194"/>
      <c r="F166" s="182"/>
      <c r="G166" s="182">
        <f>'Phan tich don gia'!G342</f>
        <v>19670.328</v>
      </c>
      <c r="H166" s="182"/>
      <c r="I166" s="195">
        <f aca="true" t="shared" si="0" ref="I166:I171">E166*F166</f>
        <v>0</v>
      </c>
      <c r="J166" s="195">
        <f aca="true" t="shared" si="1" ref="J166:J171">E166*G166</f>
        <v>0</v>
      </c>
      <c r="K166" s="196">
        <f aca="true" t="shared" si="2" ref="K166:K171">E166*H166</f>
        <v>0</v>
      </c>
    </row>
    <row r="167" spans="1:11" ht="14.25" hidden="1">
      <c r="A167" s="192" t="s">
        <v>337</v>
      </c>
      <c r="B167" s="193" t="s">
        <v>246</v>
      </c>
      <c r="C167" s="193" t="s">
        <v>247</v>
      </c>
      <c r="D167" s="193" t="s">
        <v>248</v>
      </c>
      <c r="E167" s="194"/>
      <c r="F167" s="182"/>
      <c r="G167" s="182"/>
      <c r="H167" s="182">
        <f>'Phan tich don gia'!G346</f>
        <v>47773.4598</v>
      </c>
      <c r="I167" s="195">
        <f t="shared" si="0"/>
        <v>0</v>
      </c>
      <c r="J167" s="195">
        <f t="shared" si="1"/>
        <v>0</v>
      </c>
      <c r="K167" s="196">
        <f t="shared" si="2"/>
        <v>0</v>
      </c>
    </row>
    <row r="168" spans="1:11" ht="14.25" hidden="1">
      <c r="A168" s="192" t="s">
        <v>336</v>
      </c>
      <c r="B168" s="193" t="s">
        <v>251</v>
      </c>
      <c r="C168" s="193" t="s">
        <v>252</v>
      </c>
      <c r="D168" s="193" t="s">
        <v>248</v>
      </c>
      <c r="E168" s="194"/>
      <c r="F168" s="182"/>
      <c r="G168" s="182"/>
      <c r="H168" s="182">
        <f>'Phan tich don gia'!G350</f>
        <v>33618.3606</v>
      </c>
      <c r="I168" s="195">
        <f t="shared" si="0"/>
        <v>0</v>
      </c>
      <c r="J168" s="195">
        <f t="shared" si="1"/>
        <v>0</v>
      </c>
      <c r="K168" s="196">
        <f t="shared" si="2"/>
        <v>0</v>
      </c>
    </row>
    <row r="169" spans="1:11" ht="14.25" hidden="1">
      <c r="A169" s="192" t="s">
        <v>335</v>
      </c>
      <c r="B169" s="193" t="s">
        <v>254</v>
      </c>
      <c r="C169" s="193" t="s">
        <v>255</v>
      </c>
      <c r="D169" s="193" t="s">
        <v>248</v>
      </c>
      <c r="E169" s="194"/>
      <c r="F169" s="182"/>
      <c r="G169" s="182"/>
      <c r="H169" s="182">
        <f>'Phan tich don gia'!G354</f>
        <v>24771.4236</v>
      </c>
      <c r="I169" s="195">
        <f t="shared" si="0"/>
        <v>0</v>
      </c>
      <c r="J169" s="195">
        <f t="shared" si="1"/>
        <v>0</v>
      </c>
      <c r="K169" s="196">
        <f t="shared" si="2"/>
        <v>0</v>
      </c>
    </row>
    <row r="170" spans="1:11" ht="14.25" hidden="1">
      <c r="A170" s="192" t="s">
        <v>334</v>
      </c>
      <c r="B170" s="193" t="s">
        <v>257</v>
      </c>
      <c r="C170" s="193" t="s">
        <v>258</v>
      </c>
      <c r="D170" s="193" t="s">
        <v>248</v>
      </c>
      <c r="E170" s="194"/>
      <c r="F170" s="182"/>
      <c r="G170" s="182"/>
      <c r="H170" s="182">
        <f>'Phan tich don gia'!G358</f>
        <v>44155.8656</v>
      </c>
      <c r="I170" s="195">
        <f t="shared" si="0"/>
        <v>0</v>
      </c>
      <c r="J170" s="195">
        <f t="shared" si="1"/>
        <v>0</v>
      </c>
      <c r="K170" s="196">
        <f t="shared" si="2"/>
        <v>0</v>
      </c>
    </row>
    <row r="171" spans="1:11" ht="14.25" hidden="1">
      <c r="A171" s="192" t="s">
        <v>333</v>
      </c>
      <c r="B171" s="193" t="s">
        <v>261</v>
      </c>
      <c r="C171" s="193" t="s">
        <v>262</v>
      </c>
      <c r="D171" s="193" t="s">
        <v>248</v>
      </c>
      <c r="E171" s="194"/>
      <c r="F171" s="182"/>
      <c r="G171" s="182"/>
      <c r="H171" s="182">
        <f>'Phan tich don gia'!G363</f>
        <v>32113.3568</v>
      </c>
      <c r="I171" s="195">
        <f t="shared" si="0"/>
        <v>0</v>
      </c>
      <c r="J171" s="195">
        <f t="shared" si="1"/>
        <v>0</v>
      </c>
      <c r="K171" s="196">
        <f t="shared" si="2"/>
        <v>0</v>
      </c>
    </row>
    <row r="172" spans="1:11" ht="14.25" hidden="1">
      <c r="A172" s="192" t="s">
        <v>0</v>
      </c>
      <c r="B172" s="193" t="s">
        <v>0</v>
      </c>
      <c r="C172" s="193" t="s">
        <v>263</v>
      </c>
      <c r="D172" s="193" t="s">
        <v>0</v>
      </c>
      <c r="E172" s="194"/>
      <c r="F172" s="182"/>
      <c r="G172" s="182"/>
      <c r="H172" s="182"/>
      <c r="I172" s="195"/>
      <c r="J172" s="195"/>
      <c r="K172" s="196"/>
    </row>
    <row r="173" spans="1:11" ht="14.25" hidden="1">
      <c r="A173" s="192" t="s">
        <v>332</v>
      </c>
      <c r="B173" s="193" t="s">
        <v>265</v>
      </c>
      <c r="C173" s="193" t="s">
        <v>266</v>
      </c>
      <c r="D173" s="193" t="s">
        <v>267</v>
      </c>
      <c r="E173" s="194"/>
      <c r="F173" s="182"/>
      <c r="G173" s="182"/>
      <c r="H173" s="182">
        <f>'Phan tich don gia'!G368</f>
        <v>31019.9016</v>
      </c>
      <c r="I173" s="195">
        <f>E173*F173</f>
        <v>0</v>
      </c>
      <c r="J173" s="195">
        <f>E173*G173</f>
        <v>0</v>
      </c>
      <c r="K173" s="196">
        <f>E173*H173</f>
        <v>0</v>
      </c>
    </row>
    <row r="174" spans="1:11" ht="14.25" hidden="1">
      <c r="A174" s="192" t="s">
        <v>0</v>
      </c>
      <c r="B174" s="193" t="s">
        <v>0</v>
      </c>
      <c r="C174" s="193" t="s">
        <v>268</v>
      </c>
      <c r="D174" s="193" t="s">
        <v>0</v>
      </c>
      <c r="E174" s="194"/>
      <c r="F174" s="182"/>
      <c r="G174" s="182"/>
      <c r="H174" s="182"/>
      <c r="I174" s="195"/>
      <c r="J174" s="195"/>
      <c r="K174" s="196"/>
    </row>
    <row r="175" spans="1:11" ht="14.25" hidden="1">
      <c r="A175" s="192" t="s">
        <v>331</v>
      </c>
      <c r="B175" s="193" t="s">
        <v>270</v>
      </c>
      <c r="C175" s="193" t="s">
        <v>271</v>
      </c>
      <c r="D175" s="193" t="s">
        <v>267</v>
      </c>
      <c r="E175" s="194"/>
      <c r="F175" s="182"/>
      <c r="G175" s="182"/>
      <c r="H175" s="182">
        <f>'Phan tich don gia'!G373</f>
        <v>81907.4788</v>
      </c>
      <c r="I175" s="195">
        <f>E175*F175</f>
        <v>0</v>
      </c>
      <c r="J175" s="195">
        <f>E175*G175</f>
        <v>0</v>
      </c>
      <c r="K175" s="196">
        <f>E175*H175</f>
        <v>0</v>
      </c>
    </row>
    <row r="176" spans="1:11" ht="14.25" hidden="1">
      <c r="A176" s="192" t="s">
        <v>0</v>
      </c>
      <c r="B176" s="193" t="s">
        <v>0</v>
      </c>
      <c r="C176" s="193" t="s">
        <v>272</v>
      </c>
      <c r="D176" s="193" t="s">
        <v>0</v>
      </c>
      <c r="E176" s="194"/>
      <c r="F176" s="182"/>
      <c r="G176" s="182"/>
      <c r="H176" s="182"/>
      <c r="I176" s="195"/>
      <c r="J176" s="195"/>
      <c r="K176" s="196"/>
    </row>
    <row r="177" spans="1:11" ht="14.25" hidden="1">
      <c r="A177" s="192" t="s">
        <v>330</v>
      </c>
      <c r="B177" s="193" t="s">
        <v>275</v>
      </c>
      <c r="C177" s="193" t="s">
        <v>271</v>
      </c>
      <c r="D177" s="193" t="s">
        <v>267</v>
      </c>
      <c r="E177" s="194"/>
      <c r="F177" s="182"/>
      <c r="G177" s="182"/>
      <c r="H177" s="182">
        <f>'Phan tich don gia'!G378</f>
        <v>60176.9232</v>
      </c>
      <c r="I177" s="195">
        <f>E177*F177</f>
        <v>0</v>
      </c>
      <c r="J177" s="195">
        <f>E177*G177</f>
        <v>0</v>
      </c>
      <c r="K177" s="196">
        <f>E177*H177</f>
        <v>0</v>
      </c>
    </row>
    <row r="178" spans="1:11" ht="14.25" hidden="1">
      <c r="A178" s="192" t="s">
        <v>0</v>
      </c>
      <c r="B178" s="193" t="s">
        <v>0</v>
      </c>
      <c r="C178" s="193" t="s">
        <v>276</v>
      </c>
      <c r="D178" s="193" t="s">
        <v>0</v>
      </c>
      <c r="E178" s="194"/>
      <c r="F178" s="182"/>
      <c r="G178" s="182"/>
      <c r="H178" s="182"/>
      <c r="I178" s="195"/>
      <c r="J178" s="195"/>
      <c r="K178" s="196"/>
    </row>
    <row r="179" spans="1:11" ht="14.25" hidden="1">
      <c r="A179" s="192" t="s">
        <v>0</v>
      </c>
      <c r="B179" s="193" t="s">
        <v>0</v>
      </c>
      <c r="C179" s="193" t="s">
        <v>0</v>
      </c>
      <c r="D179" s="193" t="s">
        <v>0</v>
      </c>
      <c r="E179" s="194"/>
      <c r="F179" s="182"/>
      <c r="G179" s="182"/>
      <c r="H179" s="182"/>
      <c r="I179" s="195"/>
      <c r="J179" s="195"/>
      <c r="K179" s="196"/>
    </row>
    <row r="180" spans="1:11" ht="15" thickBot="1">
      <c r="A180" s="46"/>
      <c r="B180" s="47"/>
      <c r="C180" s="47"/>
      <c r="D180" s="47"/>
      <c r="E180" s="52"/>
      <c r="F180" s="48"/>
      <c r="G180" s="48"/>
      <c r="H180" s="48"/>
      <c r="I180" s="49"/>
      <c r="J180" s="49"/>
      <c r="K180" s="50"/>
    </row>
  </sheetData>
  <sheetProtection/>
  <mergeCells count="11">
    <mergeCell ref="A1:K1"/>
    <mergeCell ref="A3:K3"/>
    <mergeCell ref="A4:K4"/>
    <mergeCell ref="A5:K5"/>
    <mergeCell ref="A7:A8"/>
    <mergeCell ref="B7:B8"/>
    <mergeCell ref="C7:C8"/>
    <mergeCell ref="D7:D8"/>
    <mergeCell ref="E7:E8"/>
    <mergeCell ref="F7:H7"/>
    <mergeCell ref="I7:K7"/>
  </mergeCells>
  <printOptions horizontalCentered="1"/>
  <pageMargins left="0.4" right="0.2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0"/>
  <sheetViews>
    <sheetView showZeros="0" zoomScalePageLayoutView="0" workbookViewId="0" topLeftCell="A164">
      <selection activeCell="F165" sqref="F165"/>
    </sheetView>
  </sheetViews>
  <sheetFormatPr defaultColWidth="8.796875" defaultRowHeight="15"/>
  <cols>
    <col min="1" max="1" width="3.59765625" style="6" customWidth="1"/>
    <col min="2" max="2" width="8.59765625" style="6" customWidth="1"/>
    <col min="3" max="3" width="30.3984375" style="6" customWidth="1"/>
    <col min="4" max="4" width="5.19921875" style="6" customWidth="1"/>
    <col min="5" max="5" width="10.09765625" style="54" customWidth="1"/>
    <col min="6" max="6" width="10.5" style="55" customWidth="1"/>
    <col min="7" max="7" width="12.5" style="55" customWidth="1"/>
    <col min="8" max="16384" width="9" style="6" customWidth="1"/>
  </cols>
  <sheetData>
    <row r="1" spans="1:7" ht="21">
      <c r="A1" s="262" t="s">
        <v>496</v>
      </c>
      <c r="B1" s="262"/>
      <c r="C1" s="262"/>
      <c r="D1" s="262"/>
      <c r="E1" s="262"/>
      <c r="F1" s="262"/>
      <c r="G1" s="262"/>
    </row>
    <row r="2" spans="1:7" ht="15.75">
      <c r="A2" s="2"/>
      <c r="B2" s="2"/>
      <c r="C2" s="2"/>
      <c r="D2" s="2"/>
      <c r="E2" s="66"/>
      <c r="F2" s="1"/>
      <c r="G2" s="1"/>
    </row>
    <row r="3" spans="1:7" s="25" customFormat="1" ht="16.5">
      <c r="A3" s="261" t="s">
        <v>478</v>
      </c>
      <c r="B3" s="261"/>
      <c r="C3" s="261"/>
      <c r="D3" s="261"/>
      <c r="E3" s="261"/>
      <c r="F3" s="261"/>
      <c r="G3" s="261"/>
    </row>
    <row r="4" spans="1:7" s="25" customFormat="1" ht="16.5">
      <c r="A4" s="261" t="s">
        <v>479</v>
      </c>
      <c r="B4" s="261"/>
      <c r="C4" s="261"/>
      <c r="D4" s="261"/>
      <c r="E4" s="261"/>
      <c r="F4" s="261"/>
      <c r="G4" s="261"/>
    </row>
    <row r="5" spans="1:7" s="25" customFormat="1" ht="16.5">
      <c r="A5" s="261"/>
      <c r="B5" s="261"/>
      <c r="C5" s="261"/>
      <c r="D5" s="261"/>
      <c r="E5" s="261"/>
      <c r="F5" s="261"/>
      <c r="G5" s="261"/>
    </row>
    <row r="6" spans="1:7" ht="16.5" thickBot="1">
      <c r="A6" s="2"/>
      <c r="B6" s="2"/>
      <c r="C6" s="2"/>
      <c r="D6" s="2"/>
      <c r="E6" s="66"/>
      <c r="F6" s="1"/>
      <c r="G6" s="1"/>
    </row>
    <row r="7" spans="1:7" ht="45" customHeight="1">
      <c r="A7" s="22" t="s">
        <v>302</v>
      </c>
      <c r="B7" s="24" t="s">
        <v>497</v>
      </c>
      <c r="C7" s="23" t="s">
        <v>489</v>
      </c>
      <c r="D7" s="24" t="s">
        <v>498</v>
      </c>
      <c r="E7" s="67" t="s">
        <v>499</v>
      </c>
      <c r="F7" s="68" t="s">
        <v>487</v>
      </c>
      <c r="G7" s="69" t="s">
        <v>485</v>
      </c>
    </row>
    <row r="8" spans="1:7" ht="15">
      <c r="A8" s="14" t="s">
        <v>2</v>
      </c>
      <c r="B8" s="15" t="s">
        <v>3</v>
      </c>
      <c r="C8" s="15" t="s">
        <v>4</v>
      </c>
      <c r="D8" s="15" t="s">
        <v>5</v>
      </c>
      <c r="E8" s="63"/>
      <c r="F8" s="64"/>
      <c r="G8" s="65"/>
    </row>
    <row r="9" spans="1:7" ht="15.75">
      <c r="A9" s="8" t="s">
        <v>0</v>
      </c>
      <c r="B9" s="9" t="s">
        <v>0</v>
      </c>
      <c r="C9" s="9" t="s">
        <v>390</v>
      </c>
      <c r="D9" s="9" t="s">
        <v>0</v>
      </c>
      <c r="E9" s="56"/>
      <c r="F9" s="57"/>
      <c r="G9" s="59">
        <f>ROUND(SUM(G10:G12),5)</f>
        <v>20587.37135</v>
      </c>
    </row>
    <row r="10" spans="1:7" ht="15">
      <c r="A10" s="8" t="s">
        <v>0</v>
      </c>
      <c r="B10" s="9" t="s">
        <v>0</v>
      </c>
      <c r="C10" s="9" t="s">
        <v>6</v>
      </c>
      <c r="D10" s="9" t="s">
        <v>7</v>
      </c>
      <c r="E10" s="56">
        <f>6.6</f>
        <v>6.6</v>
      </c>
      <c r="F10" s="57">
        <f>ROUND('Gia VL'!Q37/1000,5)</f>
        <v>1677.273</v>
      </c>
      <c r="G10" s="58">
        <f>ROUND(E10*F10,5)</f>
        <v>11070.0018</v>
      </c>
    </row>
    <row r="11" spans="1:7" ht="15">
      <c r="A11" s="8" t="s">
        <v>0</v>
      </c>
      <c r="B11" s="9" t="s">
        <v>0</v>
      </c>
      <c r="C11" s="9" t="s">
        <v>8</v>
      </c>
      <c r="D11" s="9" t="s">
        <v>9</v>
      </c>
      <c r="E11" s="56">
        <f>0.02975</f>
        <v>0.02975</v>
      </c>
      <c r="F11" s="57">
        <f>'Gia VL'!Q12</f>
        <v>317705.7</v>
      </c>
      <c r="G11" s="58">
        <f>ROUND(E11*F11,5)</f>
        <v>9451.74458</v>
      </c>
    </row>
    <row r="12" spans="1:7" ht="15">
      <c r="A12" s="8" t="s">
        <v>0</v>
      </c>
      <c r="B12" s="9" t="s">
        <v>0</v>
      </c>
      <c r="C12" s="9" t="s">
        <v>10</v>
      </c>
      <c r="D12" s="9" t="s">
        <v>9</v>
      </c>
      <c r="E12" s="56">
        <f>0.006875</f>
        <v>0.006875</v>
      </c>
      <c r="F12" s="57">
        <f>'Gia VL'!Q26</f>
        <v>9545.45</v>
      </c>
      <c r="G12" s="58">
        <f>ROUND(E12*F12,5)</f>
        <v>65.62497</v>
      </c>
    </row>
    <row r="13" spans="1:7" ht="15.75">
      <c r="A13" s="8" t="s">
        <v>0</v>
      </c>
      <c r="B13" s="9" t="s">
        <v>0</v>
      </c>
      <c r="C13" s="9" t="s">
        <v>387</v>
      </c>
      <c r="D13" s="9" t="s">
        <v>0</v>
      </c>
      <c r="E13" s="56"/>
      <c r="F13" s="57"/>
      <c r="G13" s="59">
        <f>ROUND(SUM(G14:G14),5)</f>
        <v>18616.3396</v>
      </c>
    </row>
    <row r="14" spans="1:7" ht="15">
      <c r="A14" s="8" t="s">
        <v>0</v>
      </c>
      <c r="B14" s="9" t="s">
        <v>0</v>
      </c>
      <c r="C14" s="9" t="s">
        <v>11</v>
      </c>
      <c r="D14" s="9" t="s">
        <v>12</v>
      </c>
      <c r="E14" s="56">
        <f>0.068</f>
        <v>0.068</v>
      </c>
      <c r="F14" s="57">
        <f>'Gia NC,CM'!P12</f>
        <v>273769.7</v>
      </c>
      <c r="G14" s="58">
        <f>ROUND(E14*F14,5)</f>
        <v>18616.3396</v>
      </c>
    </row>
    <row r="15" spans="1:7" ht="15.75">
      <c r="A15" s="8" t="s">
        <v>0</v>
      </c>
      <c r="B15" s="9" t="s">
        <v>0</v>
      </c>
      <c r="C15" s="9" t="s">
        <v>386</v>
      </c>
      <c r="D15" s="9" t="s">
        <v>0</v>
      </c>
      <c r="E15" s="56"/>
      <c r="F15" s="57"/>
      <c r="G15" s="59">
        <f>ROUND(SUM(G16:G18),5)</f>
        <v>1171.7944</v>
      </c>
    </row>
    <row r="16" spans="1:7" ht="15">
      <c r="A16" s="8" t="s">
        <v>0</v>
      </c>
      <c r="B16" s="9" t="s">
        <v>0</v>
      </c>
      <c r="C16" s="9" t="s">
        <v>13</v>
      </c>
      <c r="D16" s="9" t="s">
        <v>14</v>
      </c>
      <c r="E16" s="56">
        <f>0.004</f>
        <v>0.004</v>
      </c>
      <c r="F16" s="57">
        <f>'Gia NC,CM'!P15</f>
        <v>292948.6</v>
      </c>
      <c r="G16" s="58">
        <f>ROUND(E16*F16,5)</f>
        <v>1171.7944</v>
      </c>
    </row>
    <row r="17" spans="1:7" ht="15">
      <c r="A17" s="8" t="s">
        <v>0</v>
      </c>
      <c r="B17" s="9" t="s">
        <v>0</v>
      </c>
      <c r="C17" s="9" t="s">
        <v>0</v>
      </c>
      <c r="D17" s="9" t="s">
        <v>0</v>
      </c>
      <c r="E17" s="56"/>
      <c r="F17" s="57"/>
      <c r="G17" s="58"/>
    </row>
    <row r="18" spans="1:7" ht="15">
      <c r="A18" s="8" t="s">
        <v>15</v>
      </c>
      <c r="B18" s="9" t="s">
        <v>16</v>
      </c>
      <c r="C18" s="9" t="s">
        <v>17</v>
      </c>
      <c r="D18" s="9" t="s">
        <v>5</v>
      </c>
      <c r="E18" s="56"/>
      <c r="F18" s="57"/>
      <c r="G18" s="58"/>
    </row>
    <row r="19" spans="1:7" ht="15.75">
      <c r="A19" s="8" t="s">
        <v>0</v>
      </c>
      <c r="B19" s="9" t="s">
        <v>0</v>
      </c>
      <c r="C19" s="9" t="s">
        <v>390</v>
      </c>
      <c r="D19" s="9" t="s">
        <v>0</v>
      </c>
      <c r="E19" s="56"/>
      <c r="F19" s="57"/>
      <c r="G19" s="59">
        <f>ROUND(SUM(G20:G24),5)</f>
        <v>116666.46223</v>
      </c>
    </row>
    <row r="20" spans="1:7" ht="15">
      <c r="A20" s="8" t="s">
        <v>0</v>
      </c>
      <c r="B20" s="9" t="s">
        <v>0</v>
      </c>
      <c r="C20" s="9" t="s">
        <v>18</v>
      </c>
      <c r="D20" s="9" t="s">
        <v>19</v>
      </c>
      <c r="E20" s="56">
        <f>1.01</f>
        <v>1.01</v>
      </c>
      <c r="F20" s="57">
        <f>'Gia VL'!Q22</f>
        <v>95000</v>
      </c>
      <c r="G20" s="58">
        <f>ROUND(E20*F20,5)</f>
        <v>95950</v>
      </c>
    </row>
    <row r="21" spans="1:7" ht="15">
      <c r="A21" s="8" t="s">
        <v>0</v>
      </c>
      <c r="B21" s="9" t="s">
        <v>0</v>
      </c>
      <c r="C21" s="9" t="s">
        <v>6</v>
      </c>
      <c r="D21" s="9" t="s">
        <v>7</v>
      </c>
      <c r="E21" s="56">
        <f>6.6</f>
        <v>6.6</v>
      </c>
      <c r="F21" s="57">
        <f>ROUND('Gia VL'!Q37/1000,5)</f>
        <v>1677.273</v>
      </c>
      <c r="G21" s="58">
        <f>ROUND(E21*F21,5)</f>
        <v>11070.0018</v>
      </c>
    </row>
    <row r="22" spans="1:7" ht="15">
      <c r="A22" s="8" t="s">
        <v>0</v>
      </c>
      <c r="B22" s="9" t="s">
        <v>0</v>
      </c>
      <c r="C22" s="9" t="s">
        <v>8</v>
      </c>
      <c r="D22" s="9" t="s">
        <v>9</v>
      </c>
      <c r="E22" s="56">
        <f>0.02975</f>
        <v>0.02975</v>
      </c>
      <c r="F22" s="57">
        <f>'Gia VL'!Q12</f>
        <v>317705.7</v>
      </c>
      <c r="G22" s="58">
        <f>ROUND(E22*F22,5)</f>
        <v>9451.74458</v>
      </c>
    </row>
    <row r="23" spans="1:7" ht="15">
      <c r="A23" s="8" t="s">
        <v>0</v>
      </c>
      <c r="B23" s="9" t="s">
        <v>0</v>
      </c>
      <c r="C23" s="9" t="s">
        <v>10</v>
      </c>
      <c r="D23" s="9" t="s">
        <v>9</v>
      </c>
      <c r="E23" s="56">
        <f>0.006875</f>
        <v>0.006875</v>
      </c>
      <c r="F23" s="57">
        <f>'Gia VL'!Q26</f>
        <v>9545.45</v>
      </c>
      <c r="G23" s="58">
        <f>ROUND(E23*F23,5)</f>
        <v>65.62497</v>
      </c>
    </row>
    <row r="24" spans="1:7" ht="15">
      <c r="A24" s="8" t="s">
        <v>0</v>
      </c>
      <c r="B24" s="9" t="s">
        <v>0</v>
      </c>
      <c r="C24" s="9" t="s">
        <v>20</v>
      </c>
      <c r="D24" s="9" t="s">
        <v>7</v>
      </c>
      <c r="E24" s="56">
        <f>0.08</f>
        <v>0.08</v>
      </c>
      <c r="F24" s="57">
        <f>ROUND('Gia VL'!Q36/1000,5)</f>
        <v>1613.636</v>
      </c>
      <c r="G24" s="58">
        <f>ROUND(E24*F24,5)</f>
        <v>129.09088</v>
      </c>
    </row>
    <row r="25" spans="1:7" ht="15.75">
      <c r="A25" s="8" t="s">
        <v>0</v>
      </c>
      <c r="B25" s="9" t="s">
        <v>0</v>
      </c>
      <c r="C25" s="9" t="s">
        <v>387</v>
      </c>
      <c r="D25" s="9" t="s">
        <v>0</v>
      </c>
      <c r="E25" s="56"/>
      <c r="F25" s="57"/>
      <c r="G25" s="59">
        <f>ROUND(SUM(G26:G28),5)</f>
        <v>41065.455</v>
      </c>
    </row>
    <row r="26" spans="1:7" ht="15">
      <c r="A26" s="8" t="s">
        <v>0</v>
      </c>
      <c r="B26" s="9" t="s">
        <v>0</v>
      </c>
      <c r="C26" s="9" t="s">
        <v>11</v>
      </c>
      <c r="D26" s="9" t="s">
        <v>12</v>
      </c>
      <c r="E26" s="56">
        <f>0.15</f>
        <v>0.15</v>
      </c>
      <c r="F26" s="57">
        <f>'Gia NC,CM'!P12</f>
        <v>273769.7</v>
      </c>
      <c r="G26" s="58">
        <f>ROUND(E26*F26,5)</f>
        <v>41065.455</v>
      </c>
    </row>
    <row r="27" spans="1:7" ht="15">
      <c r="A27" s="8" t="s">
        <v>0</v>
      </c>
      <c r="B27" s="9" t="s">
        <v>0</v>
      </c>
      <c r="C27" s="9" t="s">
        <v>0</v>
      </c>
      <c r="D27" s="9" t="s">
        <v>0</v>
      </c>
      <c r="E27" s="56"/>
      <c r="F27" s="57"/>
      <c r="G27" s="58"/>
    </row>
    <row r="28" spans="1:7" ht="15">
      <c r="A28" s="8" t="s">
        <v>21</v>
      </c>
      <c r="B28" s="9" t="s">
        <v>22</v>
      </c>
      <c r="C28" s="9" t="s">
        <v>23</v>
      </c>
      <c r="D28" s="9" t="s">
        <v>24</v>
      </c>
      <c r="E28" s="56"/>
      <c r="F28" s="57"/>
      <c r="G28" s="58"/>
    </row>
    <row r="29" spans="1:7" ht="15.75">
      <c r="A29" s="8" t="s">
        <v>0</v>
      </c>
      <c r="B29" s="9" t="s">
        <v>0</v>
      </c>
      <c r="C29" s="9" t="s">
        <v>387</v>
      </c>
      <c r="D29" s="9" t="s">
        <v>0</v>
      </c>
      <c r="E29" s="56"/>
      <c r="F29" s="57"/>
      <c r="G29" s="59">
        <f>ROUND(SUM(G30:G33),5)</f>
        <v>260085.448</v>
      </c>
    </row>
    <row r="30" spans="1:7" ht="15">
      <c r="A30" s="8" t="s">
        <v>0</v>
      </c>
      <c r="B30" s="9" t="s">
        <v>0</v>
      </c>
      <c r="C30" s="9" t="s">
        <v>25</v>
      </c>
      <c r="D30" s="9" t="s">
        <v>12</v>
      </c>
      <c r="E30" s="56">
        <f>1.19</f>
        <v>1.19</v>
      </c>
      <c r="F30" s="57">
        <f>'Gia NC,CM'!P8</f>
        <v>218559.2</v>
      </c>
      <c r="G30" s="58">
        <f>ROUND(E30*F30,5)</f>
        <v>260085.448</v>
      </c>
    </row>
    <row r="31" spans="1:7" ht="15">
      <c r="A31" s="8" t="s">
        <v>0</v>
      </c>
      <c r="B31" s="9" t="s">
        <v>0</v>
      </c>
      <c r="C31" s="9" t="s">
        <v>0</v>
      </c>
      <c r="D31" s="9" t="s">
        <v>0</v>
      </c>
      <c r="E31" s="56"/>
      <c r="F31" s="57"/>
      <c r="G31" s="58"/>
    </row>
    <row r="32" spans="1:7" ht="15">
      <c r="A32" s="8" t="s">
        <v>26</v>
      </c>
      <c r="B32" s="9" t="s">
        <v>27</v>
      </c>
      <c r="C32" s="9" t="s">
        <v>28</v>
      </c>
      <c r="D32" s="9" t="s">
        <v>24</v>
      </c>
      <c r="E32" s="56"/>
      <c r="F32" s="57"/>
      <c r="G32" s="58"/>
    </row>
    <row r="33" spans="1:7" ht="15">
      <c r="A33" s="8" t="s">
        <v>0</v>
      </c>
      <c r="B33" s="9" t="s">
        <v>0</v>
      </c>
      <c r="C33" s="9" t="s">
        <v>29</v>
      </c>
      <c r="D33" s="9" t="s">
        <v>0</v>
      </c>
      <c r="E33" s="56"/>
      <c r="F33" s="57"/>
      <c r="G33" s="58"/>
    </row>
    <row r="34" spans="1:7" ht="15.75">
      <c r="A34" s="8" t="s">
        <v>0</v>
      </c>
      <c r="B34" s="9" t="s">
        <v>0</v>
      </c>
      <c r="C34" s="9" t="s">
        <v>387</v>
      </c>
      <c r="D34" s="9" t="s">
        <v>0</v>
      </c>
      <c r="E34" s="56"/>
      <c r="F34" s="57"/>
      <c r="G34" s="59">
        <f>ROUND(SUM(G35:G35),5)</f>
        <v>13528.81448</v>
      </c>
    </row>
    <row r="35" spans="1:7" ht="15">
      <c r="A35" s="8" t="s">
        <v>0</v>
      </c>
      <c r="B35" s="9" t="s">
        <v>0</v>
      </c>
      <c r="C35" s="9" t="s">
        <v>25</v>
      </c>
      <c r="D35" s="9" t="s">
        <v>12</v>
      </c>
      <c r="E35" s="56">
        <f>0.0619</f>
        <v>0.0619</v>
      </c>
      <c r="F35" s="57">
        <f>'Gia NC,CM'!P8</f>
        <v>218559.2</v>
      </c>
      <c r="G35" s="58">
        <f>ROUND(E35*F35,5)</f>
        <v>13528.81448</v>
      </c>
    </row>
    <row r="36" spans="1:7" ht="15.75">
      <c r="A36" s="8" t="s">
        <v>0</v>
      </c>
      <c r="B36" s="9" t="s">
        <v>0</v>
      </c>
      <c r="C36" s="9" t="s">
        <v>386</v>
      </c>
      <c r="D36" s="9" t="s">
        <v>0</v>
      </c>
      <c r="E36" s="56"/>
      <c r="F36" s="57"/>
      <c r="G36" s="59">
        <f>ROUND(SUM(G37:G39),5)</f>
        <v>14494.76181</v>
      </c>
    </row>
    <row r="37" spans="1:7" ht="15">
      <c r="A37" s="8" t="s">
        <v>0</v>
      </c>
      <c r="B37" s="9" t="s">
        <v>0</v>
      </c>
      <c r="C37" s="9" t="s">
        <v>30</v>
      </c>
      <c r="D37" s="9" t="s">
        <v>14</v>
      </c>
      <c r="E37" s="56">
        <f>0.03845</f>
        <v>0.03845</v>
      </c>
      <c r="F37" s="57">
        <f>'Gia NC,CM'!P21</f>
        <v>376976.9</v>
      </c>
      <c r="G37" s="58">
        <f>ROUND(E37*F37,5)</f>
        <v>14494.76181</v>
      </c>
    </row>
    <row r="38" spans="1:7" ht="15">
      <c r="A38" s="8" t="s">
        <v>0</v>
      </c>
      <c r="B38" s="9" t="s">
        <v>0</v>
      </c>
      <c r="C38" s="9" t="s">
        <v>0</v>
      </c>
      <c r="D38" s="9" t="s">
        <v>0</v>
      </c>
      <c r="E38" s="56"/>
      <c r="F38" s="57"/>
      <c r="G38" s="58"/>
    </row>
    <row r="39" spans="1:7" ht="15">
      <c r="A39" s="8" t="s">
        <v>31</v>
      </c>
      <c r="B39" s="9" t="s">
        <v>32</v>
      </c>
      <c r="C39" s="9" t="s">
        <v>33</v>
      </c>
      <c r="D39" s="9" t="s">
        <v>5</v>
      </c>
      <c r="E39" s="56"/>
      <c r="F39" s="57"/>
      <c r="G39" s="58"/>
    </row>
    <row r="40" spans="1:7" ht="15.75">
      <c r="A40" s="8" t="s">
        <v>0</v>
      </c>
      <c r="B40" s="9" t="s">
        <v>0</v>
      </c>
      <c r="C40" s="9" t="s">
        <v>390</v>
      </c>
      <c r="D40" s="9" t="s">
        <v>0</v>
      </c>
      <c r="E40" s="56"/>
      <c r="F40" s="57"/>
      <c r="G40" s="59">
        <f>ROUND(SUM(G41:G45),5)</f>
        <v>57786.92044</v>
      </c>
    </row>
    <row r="41" spans="1:7" ht="15">
      <c r="A41" s="8" t="s">
        <v>0</v>
      </c>
      <c r="B41" s="9" t="s">
        <v>0</v>
      </c>
      <c r="C41" s="9" t="s">
        <v>34</v>
      </c>
      <c r="D41" s="9" t="s">
        <v>9</v>
      </c>
      <c r="E41" s="56">
        <f>0.00794</f>
        <v>0.00794</v>
      </c>
      <c r="F41" s="57">
        <f>'Gia VL'!Q24</f>
        <v>4090909.09</v>
      </c>
      <c r="G41" s="58">
        <f>ROUND(E41*F41,5)</f>
        <v>32481.81817</v>
      </c>
    </row>
    <row r="42" spans="1:7" ht="15">
      <c r="A42" s="8" t="s">
        <v>0</v>
      </c>
      <c r="B42" s="9" t="s">
        <v>0</v>
      </c>
      <c r="C42" s="9" t="s">
        <v>35</v>
      </c>
      <c r="D42" s="9" t="s">
        <v>9</v>
      </c>
      <c r="E42" s="56">
        <f>0.0021</f>
        <v>0.0021</v>
      </c>
      <c r="F42" s="57">
        <f>'Gia VL'!Q25</f>
        <v>4090909.09</v>
      </c>
      <c r="G42" s="58">
        <f>ROUND(E42*F42,5)</f>
        <v>8590.90909</v>
      </c>
    </row>
    <row r="43" spans="1:7" ht="15">
      <c r="A43" s="8" t="s">
        <v>0</v>
      </c>
      <c r="B43" s="9" t="s">
        <v>0</v>
      </c>
      <c r="C43" s="9" t="s">
        <v>36</v>
      </c>
      <c r="D43" s="9" t="s">
        <v>9</v>
      </c>
      <c r="E43" s="56">
        <f>0.00335</f>
        <v>0.00335</v>
      </c>
      <c r="F43" s="57">
        <f>'Gia VL'!Q23</f>
        <v>4090909.09</v>
      </c>
      <c r="G43" s="58">
        <f>ROUND(E43*F43,5)</f>
        <v>13704.54545</v>
      </c>
    </row>
    <row r="44" spans="1:7" ht="15">
      <c r="A44" s="8" t="s">
        <v>0</v>
      </c>
      <c r="B44" s="9" t="s">
        <v>0</v>
      </c>
      <c r="C44" s="9" t="s">
        <v>37</v>
      </c>
      <c r="D44" s="9" t="s">
        <v>7</v>
      </c>
      <c r="E44" s="56">
        <f>0.15</f>
        <v>0.15</v>
      </c>
      <c r="F44" s="57">
        <f>ROUND('Gia VL'!Q41/1000,5)</f>
        <v>16250</v>
      </c>
      <c r="G44" s="58">
        <f>ROUND(E44*F44,5)</f>
        <v>2437.5</v>
      </c>
    </row>
    <row r="45" spans="1:7" ht="15">
      <c r="A45" s="8" t="s">
        <v>0</v>
      </c>
      <c r="B45" s="9" t="s">
        <v>0</v>
      </c>
      <c r="C45" s="9" t="s">
        <v>389</v>
      </c>
      <c r="D45" s="9" t="s">
        <v>388</v>
      </c>
      <c r="E45" s="56">
        <f>1</f>
        <v>1</v>
      </c>
      <c r="F45" s="57"/>
      <c r="G45" s="58">
        <f>ROUND(SUM(G41:G44)*E45/100,5)</f>
        <v>572.14773</v>
      </c>
    </row>
    <row r="46" spans="1:7" ht="15.75">
      <c r="A46" s="8" t="s">
        <v>0</v>
      </c>
      <c r="B46" s="9" t="s">
        <v>0</v>
      </c>
      <c r="C46" s="9" t="s">
        <v>387</v>
      </c>
      <c r="D46" s="9" t="s">
        <v>0</v>
      </c>
      <c r="E46" s="56"/>
      <c r="F46" s="57"/>
      <c r="G46" s="59">
        <f>ROUND(SUM(G47:G50),5)</f>
        <v>74903.4</v>
      </c>
    </row>
    <row r="47" spans="1:7" ht="15">
      <c r="A47" s="8" t="s">
        <v>0</v>
      </c>
      <c r="B47" s="9" t="s">
        <v>0</v>
      </c>
      <c r="C47" s="9" t="s">
        <v>38</v>
      </c>
      <c r="D47" s="9" t="s">
        <v>12</v>
      </c>
      <c r="E47" s="56">
        <f>0.297</f>
        <v>0.297</v>
      </c>
      <c r="F47" s="57">
        <f>'Gia NC,CM'!P11</f>
        <v>252200</v>
      </c>
      <c r="G47" s="58">
        <f>ROUND(E47*F47,5)</f>
        <v>74903.4</v>
      </c>
    </row>
    <row r="48" spans="1:7" ht="15">
      <c r="A48" s="8" t="s">
        <v>0</v>
      </c>
      <c r="B48" s="9" t="s">
        <v>0</v>
      </c>
      <c r="C48" s="9" t="s">
        <v>0</v>
      </c>
      <c r="D48" s="9" t="s">
        <v>0</v>
      </c>
      <c r="E48" s="56"/>
      <c r="F48" s="57"/>
      <c r="G48" s="58"/>
    </row>
    <row r="49" spans="1:7" ht="15">
      <c r="A49" s="8" t="s">
        <v>39</v>
      </c>
      <c r="B49" s="9" t="s">
        <v>40</v>
      </c>
      <c r="C49" s="9" t="s">
        <v>41</v>
      </c>
      <c r="D49" s="9" t="s">
        <v>24</v>
      </c>
      <c r="E49" s="56"/>
      <c r="F49" s="57"/>
      <c r="G49" s="58"/>
    </row>
    <row r="50" spans="1:7" ht="15">
      <c r="A50" s="8" t="s">
        <v>0</v>
      </c>
      <c r="B50" s="9" t="s">
        <v>0</v>
      </c>
      <c r="C50" s="9" t="s">
        <v>42</v>
      </c>
      <c r="D50" s="9" t="s">
        <v>0</v>
      </c>
      <c r="E50" s="56"/>
      <c r="F50" s="57"/>
      <c r="G50" s="58"/>
    </row>
    <row r="51" spans="1:7" ht="15.75">
      <c r="A51" s="8" t="s">
        <v>0</v>
      </c>
      <c r="B51" s="9" t="s">
        <v>0</v>
      </c>
      <c r="C51" s="9" t="s">
        <v>390</v>
      </c>
      <c r="D51" s="9" t="s">
        <v>0</v>
      </c>
      <c r="E51" s="56"/>
      <c r="F51" s="57"/>
      <c r="G51" s="59">
        <f>ROUND(SUM(G52:G55),5)</f>
        <v>786715.4784</v>
      </c>
    </row>
    <row r="52" spans="1:7" ht="15">
      <c r="A52" s="8" t="s">
        <v>0</v>
      </c>
      <c r="B52" s="9" t="s">
        <v>0</v>
      </c>
      <c r="C52" s="9" t="s">
        <v>43</v>
      </c>
      <c r="D52" s="9" t="s">
        <v>7</v>
      </c>
      <c r="E52" s="56">
        <f>203</f>
        <v>203</v>
      </c>
      <c r="F52" s="57">
        <f>ROUND('Gia VL'!Q38/1000,5)</f>
        <v>1613.636</v>
      </c>
      <c r="G52" s="58">
        <f>ROUND(E52*F52,5)</f>
        <v>327568.108</v>
      </c>
    </row>
    <row r="53" spans="1:7" ht="15">
      <c r="A53" s="8" t="s">
        <v>0</v>
      </c>
      <c r="B53" s="9" t="s">
        <v>0</v>
      </c>
      <c r="C53" s="9" t="s">
        <v>44</v>
      </c>
      <c r="D53" s="9" t="s">
        <v>9</v>
      </c>
      <c r="E53" s="56">
        <f>0.551</f>
        <v>0.551</v>
      </c>
      <c r="F53" s="57">
        <f>'Gia VL'!Q15</f>
        <v>363160.7</v>
      </c>
      <c r="G53" s="58">
        <f>ROUND(E53*F53,5)</f>
        <v>200101.5457</v>
      </c>
    </row>
    <row r="54" spans="1:7" ht="15">
      <c r="A54" s="8" t="s">
        <v>0</v>
      </c>
      <c r="B54" s="9" t="s">
        <v>0</v>
      </c>
      <c r="C54" s="9" t="s">
        <v>45</v>
      </c>
      <c r="D54" s="9" t="s">
        <v>9</v>
      </c>
      <c r="E54" s="56">
        <f>0.894</f>
        <v>0.894</v>
      </c>
      <c r="F54" s="57">
        <f>'Gia VL'!Q46</f>
        <v>287945.3</v>
      </c>
      <c r="G54" s="58">
        <f>ROUND(E54*F54,5)</f>
        <v>257423.0982</v>
      </c>
    </row>
    <row r="55" spans="1:7" ht="15">
      <c r="A55" s="8" t="s">
        <v>0</v>
      </c>
      <c r="B55" s="9" t="s">
        <v>0</v>
      </c>
      <c r="C55" s="9" t="s">
        <v>10</v>
      </c>
      <c r="D55" s="9" t="s">
        <v>9</v>
      </c>
      <c r="E55" s="56">
        <f>0.17</f>
        <v>0.17</v>
      </c>
      <c r="F55" s="57">
        <f>'Gia VL'!Q26</f>
        <v>9545.45</v>
      </c>
      <c r="G55" s="58">
        <f>ROUND(E55*F55,5)</f>
        <v>1622.7265</v>
      </c>
    </row>
    <row r="56" spans="1:7" ht="15.75">
      <c r="A56" s="8" t="s">
        <v>0</v>
      </c>
      <c r="B56" s="9" t="s">
        <v>0</v>
      </c>
      <c r="C56" s="9" t="s">
        <v>387</v>
      </c>
      <c r="D56" s="9" t="s">
        <v>0</v>
      </c>
      <c r="E56" s="56"/>
      <c r="F56" s="57"/>
      <c r="G56" s="59">
        <f>ROUND(SUM(G57:G57),5)</f>
        <v>246774.421</v>
      </c>
    </row>
    <row r="57" spans="1:7" ht="15">
      <c r="A57" s="8" t="s">
        <v>0</v>
      </c>
      <c r="B57" s="9" t="s">
        <v>0</v>
      </c>
      <c r="C57" s="9" t="s">
        <v>46</v>
      </c>
      <c r="D57" s="9" t="s">
        <v>12</v>
      </c>
      <c r="E57" s="56">
        <f>1.07</f>
        <v>1.07</v>
      </c>
      <c r="F57" s="57">
        <f>'Gia NC,CM'!P9</f>
        <v>230630.3</v>
      </c>
      <c r="G57" s="58">
        <f>ROUND(E57*F57,5)</f>
        <v>246774.421</v>
      </c>
    </row>
    <row r="58" spans="1:7" ht="15.75">
      <c r="A58" s="8" t="s">
        <v>0</v>
      </c>
      <c r="B58" s="9" t="s">
        <v>0</v>
      </c>
      <c r="C58" s="9" t="s">
        <v>386</v>
      </c>
      <c r="D58" s="9" t="s">
        <v>0</v>
      </c>
      <c r="E58" s="56"/>
      <c r="F58" s="57"/>
      <c r="G58" s="59">
        <f>ROUND(SUM(G59:G63),5)</f>
        <v>54409.0095</v>
      </c>
    </row>
    <row r="59" spans="1:7" ht="15">
      <c r="A59" s="8" t="s">
        <v>0</v>
      </c>
      <c r="B59" s="9" t="s">
        <v>0</v>
      </c>
      <c r="C59" s="9" t="s">
        <v>47</v>
      </c>
      <c r="D59" s="9" t="s">
        <v>14</v>
      </c>
      <c r="E59" s="56">
        <f>0.095</f>
        <v>0.095</v>
      </c>
      <c r="F59" s="57">
        <f>'Gia NC,CM'!P16</f>
        <v>318885.3</v>
      </c>
      <c r="G59" s="58">
        <f>ROUND(E59*F59,5)</f>
        <v>30294.1035</v>
      </c>
    </row>
    <row r="60" spans="1:7" ht="15">
      <c r="A60" s="8" t="s">
        <v>0</v>
      </c>
      <c r="B60" s="9" t="s">
        <v>0</v>
      </c>
      <c r="C60" s="9" t="s">
        <v>48</v>
      </c>
      <c r="D60" s="9" t="s">
        <v>14</v>
      </c>
      <c r="E60" s="56">
        <f>0.089</f>
        <v>0.089</v>
      </c>
      <c r="F60" s="57">
        <f>'Gia NC,CM'!P19</f>
        <v>270954</v>
      </c>
      <c r="G60" s="58">
        <f>ROUND(E60*F60,5)</f>
        <v>24114.906</v>
      </c>
    </row>
    <row r="61" spans="1:7" ht="15">
      <c r="A61" s="8" t="s">
        <v>0</v>
      </c>
      <c r="B61" s="9" t="s">
        <v>0</v>
      </c>
      <c r="C61" s="9" t="s">
        <v>0</v>
      </c>
      <c r="D61" s="9" t="s">
        <v>0</v>
      </c>
      <c r="E61" s="56"/>
      <c r="F61" s="57"/>
      <c r="G61" s="58"/>
    </row>
    <row r="62" spans="1:7" ht="15">
      <c r="A62" s="8" t="s">
        <v>49</v>
      </c>
      <c r="B62" s="9" t="s">
        <v>50</v>
      </c>
      <c r="C62" s="9" t="s">
        <v>51</v>
      </c>
      <c r="D62" s="9" t="s">
        <v>24</v>
      </c>
      <c r="E62" s="56"/>
      <c r="F62" s="57"/>
      <c r="G62" s="58"/>
    </row>
    <row r="63" spans="1:7" ht="15">
      <c r="A63" s="8" t="s">
        <v>0</v>
      </c>
      <c r="B63" s="9" t="s">
        <v>0</v>
      </c>
      <c r="C63" s="9" t="s">
        <v>52</v>
      </c>
      <c r="D63" s="9" t="s">
        <v>0</v>
      </c>
      <c r="E63" s="56"/>
      <c r="F63" s="57"/>
      <c r="G63" s="58"/>
    </row>
    <row r="64" spans="1:7" ht="15.75">
      <c r="A64" s="8" t="s">
        <v>0</v>
      </c>
      <c r="B64" s="9" t="s">
        <v>0</v>
      </c>
      <c r="C64" s="9" t="s">
        <v>390</v>
      </c>
      <c r="D64" s="9" t="s">
        <v>0</v>
      </c>
      <c r="E64" s="56"/>
      <c r="F64" s="57"/>
      <c r="G64" s="59">
        <f>ROUND(SUM(G65:G69),5)</f>
        <v>1344972.29353</v>
      </c>
    </row>
    <row r="65" spans="1:7" ht="15">
      <c r="A65" s="8" t="s">
        <v>0</v>
      </c>
      <c r="B65" s="9" t="s">
        <v>0</v>
      </c>
      <c r="C65" s="9" t="s">
        <v>53</v>
      </c>
      <c r="D65" s="9" t="s">
        <v>54</v>
      </c>
      <c r="E65" s="56">
        <f>658</f>
        <v>658</v>
      </c>
      <c r="F65" s="57">
        <f>'Gia VL'!Q21</f>
        <v>1622.5</v>
      </c>
      <c r="G65" s="58">
        <f>ROUND(E65*F65,5)</f>
        <v>1067605</v>
      </c>
    </row>
    <row r="66" spans="1:7" ht="15">
      <c r="A66" s="8" t="s">
        <v>0</v>
      </c>
      <c r="B66" s="9" t="s">
        <v>0</v>
      </c>
      <c r="C66" s="9" t="s">
        <v>6</v>
      </c>
      <c r="D66" s="9" t="s">
        <v>7</v>
      </c>
      <c r="E66" s="56">
        <f>72.336</f>
        <v>72.336</v>
      </c>
      <c r="F66" s="57">
        <f>ROUND('Gia VL'!Q37/1000,5)</f>
        <v>1677.273</v>
      </c>
      <c r="G66" s="58">
        <f>ROUND(E66*F66,5)</f>
        <v>121327.21973</v>
      </c>
    </row>
    <row r="67" spans="1:7" ht="15">
      <c r="A67" s="8" t="s">
        <v>0</v>
      </c>
      <c r="B67" s="9" t="s">
        <v>0</v>
      </c>
      <c r="C67" s="9" t="s">
        <v>8</v>
      </c>
      <c r="D67" s="9" t="s">
        <v>9</v>
      </c>
      <c r="E67" s="56">
        <f>0.32606</f>
        <v>0.32606</v>
      </c>
      <c r="F67" s="57">
        <f>'Gia VL'!Q12</f>
        <v>317705.7</v>
      </c>
      <c r="G67" s="58">
        <f>ROUND(E67*F67,5)</f>
        <v>103591.12054</v>
      </c>
    </row>
    <row r="68" spans="1:7" ht="15">
      <c r="A68" s="8" t="s">
        <v>0</v>
      </c>
      <c r="B68" s="9" t="s">
        <v>0</v>
      </c>
      <c r="C68" s="9" t="s">
        <v>10</v>
      </c>
      <c r="D68" s="9" t="s">
        <v>9</v>
      </c>
      <c r="E68" s="56">
        <f>0.07535</f>
        <v>0.07535</v>
      </c>
      <c r="F68" s="57">
        <f>'Gia VL'!Q26</f>
        <v>9545.45</v>
      </c>
      <c r="G68" s="58">
        <f>ROUND(E68*F68,5)</f>
        <v>719.24966</v>
      </c>
    </row>
    <row r="69" spans="1:7" ht="15">
      <c r="A69" s="8" t="s">
        <v>0</v>
      </c>
      <c r="B69" s="9" t="s">
        <v>0</v>
      </c>
      <c r="C69" s="9" t="s">
        <v>389</v>
      </c>
      <c r="D69" s="9" t="s">
        <v>388</v>
      </c>
      <c r="E69" s="56">
        <f>4</f>
        <v>4</v>
      </c>
      <c r="F69" s="57"/>
      <c r="G69" s="58">
        <f>ROUND(SUM(G65:G68)*E69/100,5)</f>
        <v>51729.7036</v>
      </c>
    </row>
    <row r="70" spans="1:7" ht="15.75">
      <c r="A70" s="8" t="s">
        <v>0</v>
      </c>
      <c r="B70" s="9" t="s">
        <v>0</v>
      </c>
      <c r="C70" s="9" t="s">
        <v>387</v>
      </c>
      <c r="D70" s="9" t="s">
        <v>0</v>
      </c>
      <c r="E70" s="56"/>
      <c r="F70" s="57"/>
      <c r="G70" s="59">
        <f>ROUND(SUM(G71:G71),5)</f>
        <v>622934</v>
      </c>
    </row>
    <row r="71" spans="1:7" ht="15">
      <c r="A71" s="8" t="s">
        <v>0</v>
      </c>
      <c r="B71" s="9" t="s">
        <v>0</v>
      </c>
      <c r="C71" s="9" t="s">
        <v>38</v>
      </c>
      <c r="D71" s="9" t="s">
        <v>12</v>
      </c>
      <c r="E71" s="56">
        <f>2.47</f>
        <v>2.47</v>
      </c>
      <c r="F71" s="57">
        <f>'Gia NC,CM'!P11</f>
        <v>252200</v>
      </c>
      <c r="G71" s="58">
        <f>ROUND(E71*F71,5)</f>
        <v>622934</v>
      </c>
    </row>
    <row r="72" spans="1:7" ht="15.75">
      <c r="A72" s="8" t="s">
        <v>0</v>
      </c>
      <c r="B72" s="9" t="s">
        <v>0</v>
      </c>
      <c r="C72" s="9" t="s">
        <v>386</v>
      </c>
      <c r="D72" s="9" t="s">
        <v>0</v>
      </c>
      <c r="E72" s="56"/>
      <c r="F72" s="57"/>
      <c r="G72" s="59">
        <f>ROUND(SUM(G73:G76),5)</f>
        <v>10304.46701</v>
      </c>
    </row>
    <row r="73" spans="1:7" ht="15">
      <c r="A73" s="8" t="s">
        <v>0</v>
      </c>
      <c r="B73" s="9" t="s">
        <v>0</v>
      </c>
      <c r="C73" s="9" t="s">
        <v>55</v>
      </c>
      <c r="D73" s="9" t="s">
        <v>14</v>
      </c>
      <c r="E73" s="56">
        <f>0.035</f>
        <v>0.035</v>
      </c>
      <c r="F73" s="57">
        <f>'Gia NC,CM'!P17</f>
        <v>292948.6</v>
      </c>
      <c r="G73" s="58">
        <f>ROUND(E73*F73,5)</f>
        <v>10253.201</v>
      </c>
    </row>
    <row r="74" spans="1:7" ht="15">
      <c r="A74" s="8" t="s">
        <v>0</v>
      </c>
      <c r="B74" s="9" t="s">
        <v>0</v>
      </c>
      <c r="C74" s="9" t="s">
        <v>394</v>
      </c>
      <c r="D74" s="9" t="s">
        <v>388</v>
      </c>
      <c r="E74" s="56">
        <f>0.5</f>
        <v>0.5</v>
      </c>
      <c r="F74" s="57"/>
      <c r="G74" s="58">
        <f>ROUND(SUM(G73:G73)*E74/100,5)</f>
        <v>51.26601</v>
      </c>
    </row>
    <row r="75" spans="1:7" ht="15">
      <c r="A75" s="8" t="s">
        <v>0</v>
      </c>
      <c r="B75" s="9" t="s">
        <v>0</v>
      </c>
      <c r="C75" s="9" t="s">
        <v>0</v>
      </c>
      <c r="D75" s="9" t="s">
        <v>0</v>
      </c>
      <c r="E75" s="56"/>
      <c r="F75" s="57"/>
      <c r="G75" s="58"/>
    </row>
    <row r="76" spans="1:7" ht="15">
      <c r="A76" s="8" t="s">
        <v>56</v>
      </c>
      <c r="B76" s="9" t="s">
        <v>57</v>
      </c>
      <c r="C76" s="9" t="s">
        <v>58</v>
      </c>
      <c r="D76" s="9" t="s">
        <v>5</v>
      </c>
      <c r="E76" s="56"/>
      <c r="F76" s="57"/>
      <c r="G76" s="58"/>
    </row>
    <row r="77" spans="1:7" ht="15.75">
      <c r="A77" s="8" t="s">
        <v>0</v>
      </c>
      <c r="B77" s="9" t="s">
        <v>0</v>
      </c>
      <c r="C77" s="9" t="s">
        <v>390</v>
      </c>
      <c r="D77" s="9" t="s">
        <v>0</v>
      </c>
      <c r="E77" s="56"/>
      <c r="F77" s="57"/>
      <c r="G77" s="59">
        <f>ROUND(SUM(G78:G81),5)</f>
        <v>19035.08355</v>
      </c>
    </row>
    <row r="78" spans="1:7" ht="15">
      <c r="A78" s="8" t="s">
        <v>0</v>
      </c>
      <c r="B78" s="9" t="s">
        <v>0</v>
      </c>
      <c r="C78" s="9" t="s">
        <v>6</v>
      </c>
      <c r="D78" s="9" t="s">
        <v>7</v>
      </c>
      <c r="E78" s="56">
        <f>6.072</f>
        <v>6.072</v>
      </c>
      <c r="F78" s="57">
        <f>ROUND('Gia VL'!Q37/1000,5)</f>
        <v>1677.273</v>
      </c>
      <c r="G78" s="58">
        <f>ROUND(E78*F78,5)</f>
        <v>10184.40166</v>
      </c>
    </row>
    <row r="79" spans="1:7" ht="15">
      <c r="A79" s="8" t="s">
        <v>0</v>
      </c>
      <c r="B79" s="9" t="s">
        <v>0</v>
      </c>
      <c r="C79" s="9" t="s">
        <v>8</v>
      </c>
      <c r="D79" s="9" t="s">
        <v>9</v>
      </c>
      <c r="E79" s="56">
        <f>0.02737</f>
        <v>0.02737</v>
      </c>
      <c r="F79" s="57">
        <f>'Gia VL'!Q12</f>
        <v>317705.7</v>
      </c>
      <c r="G79" s="58">
        <f>ROUND(E79*F79,5)</f>
        <v>8695.60501</v>
      </c>
    </row>
    <row r="80" spans="1:7" ht="15">
      <c r="A80" s="8" t="s">
        <v>0</v>
      </c>
      <c r="B80" s="9" t="s">
        <v>0</v>
      </c>
      <c r="C80" s="9" t="s">
        <v>10</v>
      </c>
      <c r="D80" s="9" t="s">
        <v>9</v>
      </c>
      <c r="E80" s="56">
        <f>0.006325</f>
        <v>0.006325</v>
      </c>
      <c r="F80" s="57">
        <f>'Gia VL'!Q26</f>
        <v>9545.45</v>
      </c>
      <c r="G80" s="58">
        <f>ROUND(E80*F80,5)</f>
        <v>60.37497</v>
      </c>
    </row>
    <row r="81" spans="1:7" ht="15">
      <c r="A81" s="8" t="s">
        <v>0</v>
      </c>
      <c r="B81" s="9" t="s">
        <v>0</v>
      </c>
      <c r="C81" s="9" t="s">
        <v>389</v>
      </c>
      <c r="D81" s="9" t="s">
        <v>388</v>
      </c>
      <c r="E81" s="56">
        <f>0.5</f>
        <v>0.5</v>
      </c>
      <c r="F81" s="57"/>
      <c r="G81" s="58">
        <f>ROUND(SUM(G78:G80)*E81/100,5)</f>
        <v>94.70191</v>
      </c>
    </row>
    <row r="82" spans="1:7" ht="15.75">
      <c r="A82" s="8" t="s">
        <v>0</v>
      </c>
      <c r="B82" s="9" t="s">
        <v>0</v>
      </c>
      <c r="C82" s="9" t="s">
        <v>387</v>
      </c>
      <c r="D82" s="9" t="s">
        <v>0</v>
      </c>
      <c r="E82" s="56"/>
      <c r="F82" s="57"/>
      <c r="G82" s="59">
        <f>ROUND(SUM(G83:G83),5)</f>
        <v>88270</v>
      </c>
    </row>
    <row r="83" spans="1:7" ht="15">
      <c r="A83" s="8" t="s">
        <v>0</v>
      </c>
      <c r="B83" s="9" t="s">
        <v>0</v>
      </c>
      <c r="C83" s="9" t="s">
        <v>38</v>
      </c>
      <c r="D83" s="9" t="s">
        <v>12</v>
      </c>
      <c r="E83" s="56">
        <f>0.35</f>
        <v>0.35</v>
      </c>
      <c r="F83" s="57">
        <f>'Gia NC,CM'!P11</f>
        <v>252200</v>
      </c>
      <c r="G83" s="58">
        <f>ROUND(E83*F83,5)</f>
        <v>88270</v>
      </c>
    </row>
    <row r="84" spans="1:7" ht="15.75">
      <c r="A84" s="8" t="s">
        <v>0</v>
      </c>
      <c r="B84" s="9" t="s">
        <v>0</v>
      </c>
      <c r="C84" s="9" t="s">
        <v>386</v>
      </c>
      <c r="D84" s="9" t="s">
        <v>0</v>
      </c>
      <c r="E84" s="56"/>
      <c r="F84" s="57"/>
      <c r="G84" s="59">
        <f>ROUND(SUM(G85:G88),5)</f>
        <v>878.8458</v>
      </c>
    </row>
    <row r="85" spans="1:7" ht="15">
      <c r="A85" s="8" t="s">
        <v>0</v>
      </c>
      <c r="B85" s="9" t="s">
        <v>0</v>
      </c>
      <c r="C85" s="9" t="s">
        <v>13</v>
      </c>
      <c r="D85" s="9" t="s">
        <v>14</v>
      </c>
      <c r="E85" s="56">
        <f>0.003</f>
        <v>0.003</v>
      </c>
      <c r="F85" s="57">
        <f>'Gia NC,CM'!P15</f>
        <v>292948.6</v>
      </c>
      <c r="G85" s="58">
        <f>ROUND(E85*F85,5)</f>
        <v>878.8458</v>
      </c>
    </row>
    <row r="86" spans="1:7" ht="15">
      <c r="A86" s="8" t="s">
        <v>0</v>
      </c>
      <c r="B86" s="9" t="s">
        <v>0</v>
      </c>
      <c r="C86" s="9" t="s">
        <v>0</v>
      </c>
      <c r="D86" s="9" t="s">
        <v>0</v>
      </c>
      <c r="E86" s="56"/>
      <c r="F86" s="57"/>
      <c r="G86" s="58"/>
    </row>
    <row r="87" spans="1:7" ht="15">
      <c r="A87" s="8" t="s">
        <v>59</v>
      </c>
      <c r="B87" s="9" t="s">
        <v>60</v>
      </c>
      <c r="C87" s="9" t="s">
        <v>61</v>
      </c>
      <c r="D87" s="9" t="s">
        <v>62</v>
      </c>
      <c r="E87" s="56"/>
      <c r="F87" s="57"/>
      <c r="G87" s="58"/>
    </row>
    <row r="88" spans="1:7" ht="15">
      <c r="A88" s="8" t="s">
        <v>0</v>
      </c>
      <c r="B88" s="9" t="s">
        <v>0</v>
      </c>
      <c r="C88" s="9" t="s">
        <v>63</v>
      </c>
      <c r="D88" s="9" t="s">
        <v>0</v>
      </c>
      <c r="E88" s="56"/>
      <c r="F88" s="57"/>
      <c r="G88" s="58"/>
    </row>
    <row r="89" spans="1:7" ht="15.75">
      <c r="A89" s="8" t="s">
        <v>0</v>
      </c>
      <c r="B89" s="9" t="s">
        <v>0</v>
      </c>
      <c r="C89" s="9" t="s">
        <v>390</v>
      </c>
      <c r="D89" s="9" t="s">
        <v>0</v>
      </c>
      <c r="E89" s="56"/>
      <c r="F89" s="57"/>
      <c r="G89" s="59">
        <f>ROUND(SUM(G90:G92),5)</f>
        <v>78761.1837</v>
      </c>
    </row>
    <row r="90" spans="1:7" ht="15">
      <c r="A90" s="8" t="s">
        <v>0</v>
      </c>
      <c r="B90" s="9" t="s">
        <v>0</v>
      </c>
      <c r="C90" s="9" t="s">
        <v>64</v>
      </c>
      <c r="D90" s="9" t="s">
        <v>65</v>
      </c>
      <c r="E90" s="56">
        <f>0.15</f>
        <v>0.15</v>
      </c>
      <c r="F90" s="57">
        <f>'Gia VL'!Q29</f>
        <v>191077.8</v>
      </c>
      <c r="G90" s="58">
        <f>ROUND(E90*F90,5)</f>
        <v>28661.67</v>
      </c>
    </row>
    <row r="91" spans="1:7" ht="15">
      <c r="A91" s="8" t="s">
        <v>0</v>
      </c>
      <c r="B91" s="9" t="s">
        <v>0</v>
      </c>
      <c r="C91" s="9" t="s">
        <v>66</v>
      </c>
      <c r="D91" s="9" t="s">
        <v>65</v>
      </c>
      <c r="E91" s="56">
        <f>0.237</f>
        <v>0.237</v>
      </c>
      <c r="F91" s="57">
        <f>'Gia VL'!Q32</f>
        <v>208100</v>
      </c>
      <c r="G91" s="58">
        <f>ROUND(E91*F91,5)</f>
        <v>49319.7</v>
      </c>
    </row>
    <row r="92" spans="1:7" ht="15">
      <c r="A92" s="8" t="s">
        <v>0</v>
      </c>
      <c r="B92" s="9" t="s">
        <v>0</v>
      </c>
      <c r="C92" s="9" t="s">
        <v>389</v>
      </c>
      <c r="D92" s="9" t="s">
        <v>388</v>
      </c>
      <c r="E92" s="56">
        <f>1</f>
        <v>1</v>
      </c>
      <c r="F92" s="57"/>
      <c r="G92" s="58">
        <f>ROUND(SUM(G90:G91)*E92/100,5)</f>
        <v>779.8137</v>
      </c>
    </row>
    <row r="93" spans="1:7" ht="15.75">
      <c r="A93" s="8" t="s">
        <v>0</v>
      </c>
      <c r="B93" s="9" t="s">
        <v>0</v>
      </c>
      <c r="C93" s="9" t="s">
        <v>387</v>
      </c>
      <c r="D93" s="9" t="s">
        <v>0</v>
      </c>
      <c r="E93" s="56"/>
      <c r="F93" s="57"/>
      <c r="G93" s="59">
        <f>ROUND(SUM(G94:G96),5)</f>
        <v>18410.6</v>
      </c>
    </row>
    <row r="94" spans="1:7" ht="15">
      <c r="A94" s="8" t="s">
        <v>0</v>
      </c>
      <c r="B94" s="9" t="s">
        <v>0</v>
      </c>
      <c r="C94" s="9" t="s">
        <v>38</v>
      </c>
      <c r="D94" s="9" t="s">
        <v>12</v>
      </c>
      <c r="E94" s="56">
        <f>0.073</f>
        <v>0.073</v>
      </c>
      <c r="F94" s="57">
        <f>'Gia NC,CM'!P11</f>
        <v>252200</v>
      </c>
      <c r="G94" s="58">
        <f>ROUND(E94*F94,5)</f>
        <v>18410.6</v>
      </c>
    </row>
    <row r="95" spans="1:7" ht="15">
      <c r="A95" s="8" t="s">
        <v>0</v>
      </c>
      <c r="B95" s="9" t="s">
        <v>0</v>
      </c>
      <c r="C95" s="9" t="s">
        <v>0</v>
      </c>
      <c r="D95" s="9" t="s">
        <v>0</v>
      </c>
      <c r="E95" s="56"/>
      <c r="F95" s="57"/>
      <c r="G95" s="58"/>
    </row>
    <row r="96" spans="1:7" ht="15">
      <c r="A96" s="8" t="s">
        <v>68</v>
      </c>
      <c r="B96" s="9" t="s">
        <v>69</v>
      </c>
      <c r="C96" s="9" t="s">
        <v>70</v>
      </c>
      <c r="D96" s="9" t="s">
        <v>19</v>
      </c>
      <c r="E96" s="56"/>
      <c r="F96" s="57"/>
      <c r="G96" s="58"/>
    </row>
    <row r="97" spans="1:7" ht="15.75">
      <c r="A97" s="8" t="s">
        <v>0</v>
      </c>
      <c r="B97" s="9" t="s">
        <v>0</v>
      </c>
      <c r="C97" s="9" t="s">
        <v>391</v>
      </c>
      <c r="D97" s="9" t="s">
        <v>0</v>
      </c>
      <c r="E97" s="56"/>
      <c r="F97" s="57"/>
      <c r="G97" s="59">
        <f>ROUND(SUM(G98:G100),5)</f>
        <v>13113.552</v>
      </c>
    </row>
    <row r="98" spans="1:7" ht="15">
      <c r="A98" s="8" t="s">
        <v>0</v>
      </c>
      <c r="B98" s="9" t="s">
        <v>0</v>
      </c>
      <c r="C98" s="9" t="s">
        <v>25</v>
      </c>
      <c r="D98" s="9" t="s">
        <v>12</v>
      </c>
      <c r="E98" s="56">
        <f>0.06</f>
        <v>0.06</v>
      </c>
      <c r="F98" s="57">
        <f>'Gia NC,CM'!P8</f>
        <v>218559.2</v>
      </c>
      <c r="G98" s="58">
        <f>ROUND(E98*F98,5)</f>
        <v>13113.552</v>
      </c>
    </row>
    <row r="99" spans="1:7" ht="15">
      <c r="A99" s="8" t="s">
        <v>0</v>
      </c>
      <c r="B99" s="9" t="s">
        <v>0</v>
      </c>
      <c r="C99" s="9" t="s">
        <v>0</v>
      </c>
      <c r="D99" s="9" t="s">
        <v>0</v>
      </c>
      <c r="E99" s="56"/>
      <c r="F99" s="57"/>
      <c r="G99" s="58"/>
    </row>
    <row r="100" spans="1:7" ht="15">
      <c r="A100" s="8" t="s">
        <v>71</v>
      </c>
      <c r="B100" s="9" t="s">
        <v>72</v>
      </c>
      <c r="C100" s="9" t="s">
        <v>73</v>
      </c>
      <c r="D100" s="9" t="s">
        <v>19</v>
      </c>
      <c r="E100" s="56"/>
      <c r="F100" s="57"/>
      <c r="G100" s="58"/>
    </row>
    <row r="101" spans="1:7" ht="15.75">
      <c r="A101" s="8" t="s">
        <v>0</v>
      </c>
      <c r="B101" s="9" t="s">
        <v>0</v>
      </c>
      <c r="C101" s="9" t="s">
        <v>391</v>
      </c>
      <c r="D101" s="9" t="s">
        <v>0</v>
      </c>
      <c r="E101" s="56"/>
      <c r="F101" s="57"/>
      <c r="G101" s="59">
        <f>ROUND(SUM(G102:G105),5)</f>
        <v>15299.144</v>
      </c>
    </row>
    <row r="102" spans="1:7" ht="15">
      <c r="A102" s="8" t="s">
        <v>0</v>
      </c>
      <c r="B102" s="9" t="s">
        <v>0</v>
      </c>
      <c r="C102" s="9" t="s">
        <v>25</v>
      </c>
      <c r="D102" s="9" t="s">
        <v>12</v>
      </c>
      <c r="E102" s="56">
        <f>0.07</f>
        <v>0.07</v>
      </c>
      <c r="F102" s="57">
        <f>'Gia NC,CM'!P8</f>
        <v>218559.2</v>
      </c>
      <c r="G102" s="58">
        <f>ROUND(E102*F102,5)</f>
        <v>15299.144</v>
      </c>
    </row>
    <row r="103" spans="1:7" ht="15">
      <c r="A103" s="8" t="s">
        <v>0</v>
      </c>
      <c r="B103" s="9" t="s">
        <v>0</v>
      </c>
      <c r="C103" s="9" t="s">
        <v>0</v>
      </c>
      <c r="D103" s="9" t="s">
        <v>0</v>
      </c>
      <c r="E103" s="56"/>
      <c r="F103" s="57"/>
      <c r="G103" s="58"/>
    </row>
    <row r="104" spans="1:7" ht="15">
      <c r="A104" s="8" t="s">
        <v>74</v>
      </c>
      <c r="B104" s="9" t="s">
        <v>75</v>
      </c>
      <c r="C104" s="9" t="s">
        <v>76</v>
      </c>
      <c r="D104" s="9" t="s">
        <v>5</v>
      </c>
      <c r="E104" s="56"/>
      <c r="F104" s="57"/>
      <c r="G104" s="58"/>
    </row>
    <row r="105" spans="1:7" ht="15">
      <c r="A105" s="8" t="s">
        <v>0</v>
      </c>
      <c r="B105" s="9" t="s">
        <v>0</v>
      </c>
      <c r="C105" s="9" t="s">
        <v>77</v>
      </c>
      <c r="D105" s="9" t="s">
        <v>0</v>
      </c>
      <c r="E105" s="56"/>
      <c r="F105" s="57"/>
      <c r="G105" s="58"/>
    </row>
    <row r="106" spans="1:7" ht="15.75">
      <c r="A106" s="8" t="s">
        <v>0</v>
      </c>
      <c r="B106" s="9" t="s">
        <v>0</v>
      </c>
      <c r="C106" s="9" t="s">
        <v>391</v>
      </c>
      <c r="D106" s="9" t="s">
        <v>0</v>
      </c>
      <c r="E106" s="56"/>
      <c r="F106" s="57"/>
      <c r="G106" s="59">
        <f>ROUND(SUM(G107:G109),5)</f>
        <v>100380</v>
      </c>
    </row>
    <row r="107" spans="1:7" ht="15">
      <c r="A107" s="8" t="s">
        <v>0</v>
      </c>
      <c r="B107" s="9" t="s">
        <v>0</v>
      </c>
      <c r="C107" s="9" t="s">
        <v>78</v>
      </c>
      <c r="D107" s="9" t="s">
        <v>12</v>
      </c>
      <c r="E107" s="56">
        <f>0.42</f>
        <v>0.42</v>
      </c>
      <c r="F107" s="57">
        <f>'Gia NC,CM'!P10</f>
        <v>239000</v>
      </c>
      <c r="G107" s="58">
        <f>ROUND(E107*F107,5)</f>
        <v>100380</v>
      </c>
    </row>
    <row r="108" spans="1:7" ht="15">
      <c r="A108" s="8" t="s">
        <v>0</v>
      </c>
      <c r="B108" s="9" t="s">
        <v>0</v>
      </c>
      <c r="C108" s="9" t="s">
        <v>0</v>
      </c>
      <c r="D108" s="9" t="s">
        <v>0</v>
      </c>
      <c r="E108" s="56"/>
      <c r="F108" s="57"/>
      <c r="G108" s="58"/>
    </row>
    <row r="109" spans="1:7" ht="15">
      <c r="A109" s="8" t="s">
        <v>79</v>
      </c>
      <c r="B109" s="9" t="s">
        <v>80</v>
      </c>
      <c r="C109" s="9" t="s">
        <v>81</v>
      </c>
      <c r="D109" s="9" t="s">
        <v>9</v>
      </c>
      <c r="E109" s="56"/>
      <c r="F109" s="57"/>
      <c r="G109" s="58"/>
    </row>
    <row r="110" spans="1:7" ht="15.75">
      <c r="A110" s="8" t="s">
        <v>0</v>
      </c>
      <c r="B110" s="9" t="s">
        <v>0</v>
      </c>
      <c r="C110" s="9" t="s">
        <v>391</v>
      </c>
      <c r="D110" s="9" t="s">
        <v>0</v>
      </c>
      <c r="E110" s="56"/>
      <c r="F110" s="57"/>
      <c r="G110" s="59">
        <f>ROUND(SUM(G111:G114),5)</f>
        <v>59010.984</v>
      </c>
    </row>
    <row r="111" spans="1:7" ht="15">
      <c r="A111" s="8" t="s">
        <v>0</v>
      </c>
      <c r="B111" s="9" t="s">
        <v>0</v>
      </c>
      <c r="C111" s="9" t="s">
        <v>25</v>
      </c>
      <c r="D111" s="9" t="s">
        <v>12</v>
      </c>
      <c r="E111" s="56">
        <f>0.27</f>
        <v>0.27</v>
      </c>
      <c r="F111" s="57">
        <f>'Gia NC,CM'!P8</f>
        <v>218559.2</v>
      </c>
      <c r="G111" s="58">
        <f>ROUND(E111*F111,5)</f>
        <v>59010.984</v>
      </c>
    </row>
    <row r="112" spans="1:7" ht="15">
      <c r="A112" s="8" t="s">
        <v>0</v>
      </c>
      <c r="B112" s="9" t="s">
        <v>0</v>
      </c>
      <c r="C112" s="9" t="s">
        <v>0</v>
      </c>
      <c r="D112" s="9" t="s">
        <v>0</v>
      </c>
      <c r="E112" s="56"/>
      <c r="F112" s="57"/>
      <c r="G112" s="58"/>
    </row>
    <row r="113" spans="1:7" ht="15">
      <c r="A113" s="8" t="s">
        <v>82</v>
      </c>
      <c r="B113" s="9" t="s">
        <v>83</v>
      </c>
      <c r="C113" s="9" t="s">
        <v>84</v>
      </c>
      <c r="D113" s="9" t="s">
        <v>9</v>
      </c>
      <c r="E113" s="56"/>
      <c r="F113" s="57"/>
      <c r="G113" s="58"/>
    </row>
    <row r="114" spans="1:7" ht="15">
      <c r="A114" s="8" t="s">
        <v>0</v>
      </c>
      <c r="B114" s="9" t="s">
        <v>0</v>
      </c>
      <c r="C114" s="9" t="s">
        <v>85</v>
      </c>
      <c r="D114" s="9" t="s">
        <v>0</v>
      </c>
      <c r="E114" s="56"/>
      <c r="F114" s="57"/>
      <c r="G114" s="58"/>
    </row>
    <row r="115" spans="1:7" ht="15.75">
      <c r="A115" s="8" t="s">
        <v>0</v>
      </c>
      <c r="B115" s="9" t="s">
        <v>0</v>
      </c>
      <c r="C115" s="9" t="s">
        <v>391</v>
      </c>
      <c r="D115" s="9" t="s">
        <v>0</v>
      </c>
      <c r="E115" s="56"/>
      <c r="F115" s="57"/>
      <c r="G115" s="59">
        <f>ROUND(SUM(G116:G118),5)</f>
        <v>37155.064</v>
      </c>
    </row>
    <row r="116" spans="1:7" ht="15">
      <c r="A116" s="8" t="s">
        <v>0</v>
      </c>
      <c r="B116" s="9" t="s">
        <v>0</v>
      </c>
      <c r="C116" s="9" t="s">
        <v>25</v>
      </c>
      <c r="D116" s="9" t="s">
        <v>12</v>
      </c>
      <c r="E116" s="56">
        <f>0.17</f>
        <v>0.17</v>
      </c>
      <c r="F116" s="57">
        <f>'Gia NC,CM'!P8</f>
        <v>218559.2</v>
      </c>
      <c r="G116" s="58">
        <f>ROUND(E116*F116,5)</f>
        <v>37155.064</v>
      </c>
    </row>
    <row r="117" spans="1:7" ht="15">
      <c r="A117" s="8" t="s">
        <v>0</v>
      </c>
      <c r="B117" s="9" t="s">
        <v>0</v>
      </c>
      <c r="C117" s="9" t="s">
        <v>0</v>
      </c>
      <c r="D117" s="9" t="s">
        <v>0</v>
      </c>
      <c r="E117" s="56"/>
      <c r="F117" s="57"/>
      <c r="G117" s="58"/>
    </row>
    <row r="118" spans="1:7" ht="15">
      <c r="A118" s="8" t="s">
        <v>86</v>
      </c>
      <c r="B118" s="9" t="s">
        <v>87</v>
      </c>
      <c r="C118" s="9" t="s">
        <v>88</v>
      </c>
      <c r="D118" s="9" t="s">
        <v>89</v>
      </c>
      <c r="E118" s="56"/>
      <c r="F118" s="57"/>
      <c r="G118" s="58"/>
    </row>
    <row r="119" spans="1:7" ht="15.75">
      <c r="A119" s="8" t="s">
        <v>0</v>
      </c>
      <c r="B119" s="9" t="s">
        <v>0</v>
      </c>
      <c r="C119" s="9" t="s">
        <v>393</v>
      </c>
      <c r="D119" s="9" t="s">
        <v>0</v>
      </c>
      <c r="E119" s="56"/>
      <c r="F119" s="57"/>
      <c r="G119" s="59">
        <f>ROUND(SUM(G120:G123),5)</f>
        <v>10649.364</v>
      </c>
    </row>
    <row r="120" spans="1:7" ht="15">
      <c r="A120" s="8" t="s">
        <v>0</v>
      </c>
      <c r="B120" s="9" t="s">
        <v>0</v>
      </c>
      <c r="C120" s="9" t="s">
        <v>90</v>
      </c>
      <c r="D120" s="9" t="s">
        <v>14</v>
      </c>
      <c r="E120" s="56">
        <f>0.01</f>
        <v>0.01</v>
      </c>
      <c r="F120" s="57">
        <f>'Gia NC,CM'!P25</f>
        <v>1064936.4</v>
      </c>
      <c r="G120" s="58">
        <f>ROUND(E120*F120,5)</f>
        <v>10649.364</v>
      </c>
    </row>
    <row r="121" spans="1:7" ht="15">
      <c r="A121" s="8" t="s">
        <v>0</v>
      </c>
      <c r="B121" s="9" t="s">
        <v>0</v>
      </c>
      <c r="C121" s="9" t="s">
        <v>0</v>
      </c>
      <c r="D121" s="9" t="s">
        <v>0</v>
      </c>
      <c r="E121" s="56"/>
      <c r="F121" s="57"/>
      <c r="G121" s="58"/>
    </row>
    <row r="122" spans="1:7" ht="15">
      <c r="A122" s="8" t="s">
        <v>91</v>
      </c>
      <c r="B122" s="9" t="s">
        <v>92</v>
      </c>
      <c r="C122" s="9" t="s">
        <v>93</v>
      </c>
      <c r="D122" s="9" t="s">
        <v>5</v>
      </c>
      <c r="E122" s="56"/>
      <c r="F122" s="57"/>
      <c r="G122" s="58"/>
    </row>
    <row r="123" spans="1:7" ht="15">
      <c r="A123" s="8" t="s">
        <v>0</v>
      </c>
      <c r="B123" s="9" t="s">
        <v>0</v>
      </c>
      <c r="C123" s="9" t="s">
        <v>94</v>
      </c>
      <c r="D123" s="9" t="s">
        <v>0</v>
      </c>
      <c r="E123" s="56"/>
      <c r="F123" s="57"/>
      <c r="G123" s="58"/>
    </row>
    <row r="124" spans="1:7" ht="15.75">
      <c r="A124" s="8" t="s">
        <v>0</v>
      </c>
      <c r="B124" s="9" t="s">
        <v>0</v>
      </c>
      <c r="C124" s="9" t="s">
        <v>390</v>
      </c>
      <c r="D124" s="9" t="s">
        <v>0</v>
      </c>
      <c r="E124" s="56"/>
      <c r="F124" s="57"/>
      <c r="G124" s="59">
        <f>ROUND(SUM(G125:G128),5)</f>
        <v>14961.91052</v>
      </c>
    </row>
    <row r="125" spans="1:7" ht="15">
      <c r="A125" s="8" t="s">
        <v>0</v>
      </c>
      <c r="B125" s="9" t="s">
        <v>0</v>
      </c>
      <c r="C125" s="9" t="s">
        <v>6</v>
      </c>
      <c r="D125" s="9" t="s">
        <v>7</v>
      </c>
      <c r="E125" s="56">
        <f>5.117</f>
        <v>5.117</v>
      </c>
      <c r="F125" s="57">
        <f>ROUND('Gia VL'!Q37/1000,5)</f>
        <v>1677.273</v>
      </c>
      <c r="G125" s="58">
        <f>ROUND(E125*F125,5)</f>
        <v>8582.60594</v>
      </c>
    </row>
    <row r="126" spans="1:7" ht="15">
      <c r="A126" s="8" t="s">
        <v>0</v>
      </c>
      <c r="B126" s="9" t="s">
        <v>0</v>
      </c>
      <c r="C126" s="9" t="s">
        <v>95</v>
      </c>
      <c r="D126" s="9" t="s">
        <v>9</v>
      </c>
      <c r="E126" s="56">
        <f>0.019703</f>
        <v>0.019703</v>
      </c>
      <c r="F126" s="57">
        <f>'Gia VL'!Q9</f>
        <v>317705.7</v>
      </c>
      <c r="G126" s="58">
        <f>ROUND(E126*F126,5)</f>
        <v>6259.75541</v>
      </c>
    </row>
    <row r="127" spans="1:7" ht="15">
      <c r="A127" s="8" t="s">
        <v>0</v>
      </c>
      <c r="B127" s="9" t="s">
        <v>0</v>
      </c>
      <c r="C127" s="9" t="s">
        <v>10</v>
      </c>
      <c r="D127" s="9" t="s">
        <v>9</v>
      </c>
      <c r="E127" s="56">
        <f>0.004726</f>
        <v>0.004726</v>
      </c>
      <c r="F127" s="57">
        <f>'Gia VL'!Q26</f>
        <v>9545.45</v>
      </c>
      <c r="G127" s="58">
        <f>ROUND(E127*F127,5)</f>
        <v>45.1118</v>
      </c>
    </row>
    <row r="128" spans="1:7" ht="15">
      <c r="A128" s="8" t="s">
        <v>0</v>
      </c>
      <c r="B128" s="9" t="s">
        <v>0</v>
      </c>
      <c r="C128" s="9" t="s">
        <v>389</v>
      </c>
      <c r="D128" s="9" t="s">
        <v>388</v>
      </c>
      <c r="E128" s="56">
        <f>0.5</f>
        <v>0.5</v>
      </c>
      <c r="F128" s="57"/>
      <c r="G128" s="58">
        <f>ROUND(SUM(G125:G127)*E128/100,5)</f>
        <v>74.43737</v>
      </c>
    </row>
    <row r="129" spans="1:7" ht="15.75">
      <c r="A129" s="8" t="s">
        <v>0</v>
      </c>
      <c r="B129" s="9" t="s">
        <v>0</v>
      </c>
      <c r="C129" s="9" t="s">
        <v>387</v>
      </c>
      <c r="D129" s="9" t="s">
        <v>0</v>
      </c>
      <c r="E129" s="56"/>
      <c r="F129" s="57"/>
      <c r="G129" s="59">
        <f>ROUND(SUM(G130:G130),5)</f>
        <v>65572</v>
      </c>
    </row>
    <row r="130" spans="1:7" ht="15">
      <c r="A130" s="8" t="s">
        <v>0</v>
      </c>
      <c r="B130" s="9" t="s">
        <v>0</v>
      </c>
      <c r="C130" s="9" t="s">
        <v>38</v>
      </c>
      <c r="D130" s="9" t="s">
        <v>12</v>
      </c>
      <c r="E130" s="56">
        <f>0.26</f>
        <v>0.26</v>
      </c>
      <c r="F130" s="57">
        <f>'Gia NC,CM'!P11</f>
        <v>252200</v>
      </c>
      <c r="G130" s="58">
        <f>ROUND(E130*F130,5)</f>
        <v>65572</v>
      </c>
    </row>
    <row r="131" spans="1:7" ht="15.75">
      <c r="A131" s="8" t="s">
        <v>0</v>
      </c>
      <c r="B131" s="9" t="s">
        <v>0</v>
      </c>
      <c r="C131" s="9" t="s">
        <v>386</v>
      </c>
      <c r="D131" s="9" t="s">
        <v>0</v>
      </c>
      <c r="E131" s="56"/>
      <c r="F131" s="57"/>
      <c r="G131" s="59">
        <f>ROUND(SUM(G132:G135),5)</f>
        <v>585.8972</v>
      </c>
    </row>
    <row r="132" spans="1:7" ht="15">
      <c r="A132" s="8" t="s">
        <v>0</v>
      </c>
      <c r="B132" s="9" t="s">
        <v>0</v>
      </c>
      <c r="C132" s="9" t="s">
        <v>13</v>
      </c>
      <c r="D132" s="9" t="s">
        <v>14</v>
      </c>
      <c r="E132" s="56">
        <f>0.002</f>
        <v>0.002</v>
      </c>
      <c r="F132" s="57">
        <f>'Gia NC,CM'!P15</f>
        <v>292948.6</v>
      </c>
      <c r="G132" s="58">
        <f>ROUND(E132*F132,5)</f>
        <v>585.8972</v>
      </c>
    </row>
    <row r="133" spans="1:7" ht="15">
      <c r="A133" s="8" t="s">
        <v>0</v>
      </c>
      <c r="B133" s="9" t="s">
        <v>0</v>
      </c>
      <c r="C133" s="9" t="s">
        <v>0</v>
      </c>
      <c r="D133" s="9" t="s">
        <v>0</v>
      </c>
      <c r="E133" s="56"/>
      <c r="F133" s="57"/>
      <c r="G133" s="58"/>
    </row>
    <row r="134" spans="1:7" ht="15">
      <c r="A134" s="8" t="s">
        <v>96</v>
      </c>
      <c r="B134" s="9" t="s">
        <v>97</v>
      </c>
      <c r="C134" s="9" t="s">
        <v>98</v>
      </c>
      <c r="D134" s="9" t="s">
        <v>5</v>
      </c>
      <c r="E134" s="56"/>
      <c r="F134" s="57"/>
      <c r="G134" s="58"/>
    </row>
    <row r="135" spans="1:7" ht="15">
      <c r="A135" s="8" t="s">
        <v>0</v>
      </c>
      <c r="B135" s="9" t="s">
        <v>0</v>
      </c>
      <c r="C135" s="9" t="s">
        <v>99</v>
      </c>
      <c r="D135" s="9" t="s">
        <v>0</v>
      </c>
      <c r="E135" s="56"/>
      <c r="F135" s="57"/>
      <c r="G135" s="58"/>
    </row>
    <row r="136" spans="1:7" ht="15.75">
      <c r="A136" s="8" t="s">
        <v>0</v>
      </c>
      <c r="B136" s="9" t="s">
        <v>0</v>
      </c>
      <c r="C136" s="9" t="s">
        <v>390</v>
      </c>
      <c r="D136" s="9" t="s">
        <v>0</v>
      </c>
      <c r="E136" s="56"/>
      <c r="F136" s="57"/>
      <c r="G136" s="59">
        <f>ROUND(SUM(G137:G140),5)</f>
        <v>14961.91052</v>
      </c>
    </row>
    <row r="137" spans="1:7" ht="15">
      <c r="A137" s="8" t="s">
        <v>0</v>
      </c>
      <c r="B137" s="9" t="s">
        <v>0</v>
      </c>
      <c r="C137" s="9" t="s">
        <v>6</v>
      </c>
      <c r="D137" s="9" t="s">
        <v>7</v>
      </c>
      <c r="E137" s="56">
        <f>5.117</f>
        <v>5.117</v>
      </c>
      <c r="F137" s="57">
        <f>ROUND('Gia VL'!Q37/1000,5)</f>
        <v>1677.273</v>
      </c>
      <c r="G137" s="58">
        <f>ROUND(E137*F137,5)</f>
        <v>8582.60594</v>
      </c>
    </row>
    <row r="138" spans="1:7" ht="15">
      <c r="A138" s="8" t="s">
        <v>0</v>
      </c>
      <c r="B138" s="9" t="s">
        <v>0</v>
      </c>
      <c r="C138" s="9" t="s">
        <v>95</v>
      </c>
      <c r="D138" s="9" t="s">
        <v>9</v>
      </c>
      <c r="E138" s="56">
        <f>0.019703</f>
        <v>0.019703</v>
      </c>
      <c r="F138" s="57">
        <f>'Gia VL'!Q9</f>
        <v>317705.7</v>
      </c>
      <c r="G138" s="58">
        <f>ROUND(E138*F138,5)</f>
        <v>6259.75541</v>
      </c>
    </row>
    <row r="139" spans="1:7" ht="15">
      <c r="A139" s="8" t="s">
        <v>0</v>
      </c>
      <c r="B139" s="9" t="s">
        <v>0</v>
      </c>
      <c r="C139" s="9" t="s">
        <v>10</v>
      </c>
      <c r="D139" s="9" t="s">
        <v>9</v>
      </c>
      <c r="E139" s="56">
        <f>0.004726</f>
        <v>0.004726</v>
      </c>
      <c r="F139" s="57">
        <f>'Gia VL'!Q26</f>
        <v>9545.45</v>
      </c>
      <c r="G139" s="58">
        <f>ROUND(E139*F139,5)</f>
        <v>45.1118</v>
      </c>
    </row>
    <row r="140" spans="1:7" ht="15">
      <c r="A140" s="8" t="s">
        <v>0</v>
      </c>
      <c r="B140" s="9" t="s">
        <v>0</v>
      </c>
      <c r="C140" s="9" t="s">
        <v>389</v>
      </c>
      <c r="D140" s="9" t="s">
        <v>388</v>
      </c>
      <c r="E140" s="56">
        <f>0.5</f>
        <v>0.5</v>
      </c>
      <c r="F140" s="57"/>
      <c r="G140" s="58">
        <f>ROUND(SUM(G137:G139)*E140/100,5)</f>
        <v>74.43737</v>
      </c>
    </row>
    <row r="141" spans="1:7" ht="15.75">
      <c r="A141" s="8" t="s">
        <v>0</v>
      </c>
      <c r="B141" s="9" t="s">
        <v>0</v>
      </c>
      <c r="C141" s="9" t="s">
        <v>387</v>
      </c>
      <c r="D141" s="9" t="s">
        <v>0</v>
      </c>
      <c r="E141" s="56"/>
      <c r="F141" s="57"/>
      <c r="G141" s="59">
        <f>ROUND(SUM(G142:G142),5)</f>
        <v>50440</v>
      </c>
    </row>
    <row r="142" spans="1:7" ht="15">
      <c r="A142" s="8" t="s">
        <v>0</v>
      </c>
      <c r="B142" s="9" t="s">
        <v>0</v>
      </c>
      <c r="C142" s="9" t="s">
        <v>38</v>
      </c>
      <c r="D142" s="9" t="s">
        <v>12</v>
      </c>
      <c r="E142" s="56">
        <f>0.2</f>
        <v>0.2</v>
      </c>
      <c r="F142" s="57">
        <f>'Gia NC,CM'!P11</f>
        <v>252200</v>
      </c>
      <c r="G142" s="58">
        <f>ROUND(E142*F142,5)</f>
        <v>50440</v>
      </c>
    </row>
    <row r="143" spans="1:7" ht="15.75">
      <c r="A143" s="8" t="s">
        <v>0</v>
      </c>
      <c r="B143" s="9" t="s">
        <v>0</v>
      </c>
      <c r="C143" s="9" t="s">
        <v>386</v>
      </c>
      <c r="D143" s="9" t="s">
        <v>0</v>
      </c>
      <c r="E143" s="56"/>
      <c r="F143" s="57"/>
      <c r="G143" s="59">
        <f>ROUND(SUM(G144:G147),5)</f>
        <v>585.8972</v>
      </c>
    </row>
    <row r="144" spans="1:7" ht="15">
      <c r="A144" s="8" t="s">
        <v>0</v>
      </c>
      <c r="B144" s="9" t="s">
        <v>0</v>
      </c>
      <c r="C144" s="9" t="s">
        <v>13</v>
      </c>
      <c r="D144" s="9" t="s">
        <v>14</v>
      </c>
      <c r="E144" s="56">
        <f>0.002</f>
        <v>0.002</v>
      </c>
      <c r="F144" s="57">
        <f>'Gia NC,CM'!P15</f>
        <v>292948.6</v>
      </c>
      <c r="G144" s="58">
        <f>ROUND(E144*F144,5)</f>
        <v>585.8972</v>
      </c>
    </row>
    <row r="145" spans="1:7" ht="15">
      <c r="A145" s="8" t="s">
        <v>0</v>
      </c>
      <c r="B145" s="9" t="s">
        <v>0</v>
      </c>
      <c r="C145" s="9" t="s">
        <v>0</v>
      </c>
      <c r="D145" s="9" t="s">
        <v>0</v>
      </c>
      <c r="E145" s="56"/>
      <c r="F145" s="57"/>
      <c r="G145" s="58"/>
    </row>
    <row r="146" spans="1:7" ht="15">
      <c r="A146" s="8" t="s">
        <v>100</v>
      </c>
      <c r="B146" s="9" t="s">
        <v>103</v>
      </c>
      <c r="C146" s="9" t="s">
        <v>104</v>
      </c>
      <c r="D146" s="9" t="s">
        <v>5</v>
      </c>
      <c r="E146" s="56"/>
      <c r="F146" s="57"/>
      <c r="G146" s="58"/>
    </row>
    <row r="147" spans="1:7" ht="15">
      <c r="A147" s="8" t="s">
        <v>0</v>
      </c>
      <c r="B147" s="9" t="s">
        <v>0</v>
      </c>
      <c r="C147" s="9" t="s">
        <v>105</v>
      </c>
      <c r="D147" s="9" t="s">
        <v>0</v>
      </c>
      <c r="E147" s="56"/>
      <c r="F147" s="57"/>
      <c r="G147" s="58"/>
    </row>
    <row r="148" spans="1:7" ht="15.75">
      <c r="A148" s="8" t="s">
        <v>0</v>
      </c>
      <c r="B148" s="9" t="s">
        <v>0</v>
      </c>
      <c r="C148" s="9" t="s">
        <v>392</v>
      </c>
      <c r="D148" s="9" t="s">
        <v>0</v>
      </c>
      <c r="E148" s="56"/>
      <c r="F148" s="57"/>
      <c r="G148" s="59">
        <f>ROUND(SUM(G149:G151),5)</f>
        <v>52506.24824</v>
      </c>
    </row>
    <row r="149" spans="1:7" ht="15">
      <c r="A149" s="8" t="s">
        <v>0</v>
      </c>
      <c r="B149" s="9" t="s">
        <v>0</v>
      </c>
      <c r="C149" s="9" t="s">
        <v>106</v>
      </c>
      <c r="D149" s="9" t="s">
        <v>65</v>
      </c>
      <c r="E149" s="56">
        <f>0.158</f>
        <v>0.158</v>
      </c>
      <c r="F149" s="57">
        <f>'Gia VL'!Q30</f>
        <v>136597.2</v>
      </c>
      <c r="G149" s="58">
        <f>ROUND(E149*F149,5)</f>
        <v>21582.3576</v>
      </c>
    </row>
    <row r="150" spans="1:7" ht="15">
      <c r="A150" s="8" t="s">
        <v>0</v>
      </c>
      <c r="B150" s="9" t="s">
        <v>0</v>
      </c>
      <c r="C150" s="9" t="s">
        <v>107</v>
      </c>
      <c r="D150" s="9" t="s">
        <v>65</v>
      </c>
      <c r="E150" s="56">
        <f>0.252</f>
        <v>0.252</v>
      </c>
      <c r="F150" s="57">
        <f>'Gia VL'!Q33</f>
        <v>120650.9</v>
      </c>
      <c r="G150" s="58">
        <f>ROUND(E150*F150,5)</f>
        <v>30404.0268</v>
      </c>
    </row>
    <row r="151" spans="1:7" ht="15">
      <c r="A151" s="8" t="s">
        <v>0</v>
      </c>
      <c r="B151" s="9" t="s">
        <v>0</v>
      </c>
      <c r="C151" s="9" t="s">
        <v>389</v>
      </c>
      <c r="D151" s="9" t="s">
        <v>388</v>
      </c>
      <c r="E151" s="56">
        <f>1</f>
        <v>1</v>
      </c>
      <c r="F151" s="57"/>
      <c r="G151" s="58">
        <f>ROUND(SUM(G149:G150)*E151/100,5)</f>
        <v>519.86384</v>
      </c>
    </row>
    <row r="152" spans="1:7" ht="15.75">
      <c r="A152" s="8" t="s">
        <v>0</v>
      </c>
      <c r="B152" s="9" t="s">
        <v>0</v>
      </c>
      <c r="C152" s="9" t="s">
        <v>391</v>
      </c>
      <c r="D152" s="9" t="s">
        <v>0</v>
      </c>
      <c r="E152" s="56"/>
      <c r="F152" s="57"/>
      <c r="G152" s="59">
        <f>ROUND(SUM(G153:G155),5)</f>
        <v>19167.2</v>
      </c>
    </row>
    <row r="153" spans="1:7" ht="15">
      <c r="A153" s="8" t="s">
        <v>0</v>
      </c>
      <c r="B153" s="9" t="s">
        <v>0</v>
      </c>
      <c r="C153" s="9" t="s">
        <v>38</v>
      </c>
      <c r="D153" s="9" t="s">
        <v>12</v>
      </c>
      <c r="E153" s="56">
        <f>0.076</f>
        <v>0.076</v>
      </c>
      <c r="F153" s="57">
        <f>'Gia NC,CM'!P11</f>
        <v>252200</v>
      </c>
      <c r="G153" s="58">
        <f>ROUND(E153*F153,5)</f>
        <v>19167.2</v>
      </c>
    </row>
    <row r="154" spans="1:7" ht="15">
      <c r="A154" s="8" t="s">
        <v>0</v>
      </c>
      <c r="B154" s="9" t="s">
        <v>0</v>
      </c>
      <c r="C154" s="9" t="s">
        <v>0</v>
      </c>
      <c r="D154" s="9" t="s">
        <v>0</v>
      </c>
      <c r="E154" s="56"/>
      <c r="F154" s="57"/>
      <c r="G154" s="58"/>
    </row>
    <row r="155" spans="1:7" ht="15">
      <c r="A155" s="8" t="s">
        <v>102</v>
      </c>
      <c r="B155" s="9" t="s">
        <v>109</v>
      </c>
      <c r="C155" s="9" t="s">
        <v>110</v>
      </c>
      <c r="D155" s="9" t="s">
        <v>5</v>
      </c>
      <c r="E155" s="56"/>
      <c r="F155" s="57"/>
      <c r="G155" s="58"/>
    </row>
    <row r="156" spans="1:7" ht="15.75">
      <c r="A156" s="8" t="s">
        <v>0</v>
      </c>
      <c r="B156" s="9" t="s">
        <v>0</v>
      </c>
      <c r="C156" s="9" t="s">
        <v>391</v>
      </c>
      <c r="D156" s="9" t="s">
        <v>0</v>
      </c>
      <c r="E156" s="56"/>
      <c r="F156" s="57"/>
      <c r="G156" s="59">
        <f>ROUND(SUM(G157:G159),5)</f>
        <v>17484.736</v>
      </c>
    </row>
    <row r="157" spans="1:7" ht="15">
      <c r="A157" s="8" t="s">
        <v>0</v>
      </c>
      <c r="B157" s="9" t="s">
        <v>0</v>
      </c>
      <c r="C157" s="9" t="s">
        <v>25</v>
      </c>
      <c r="D157" s="9" t="s">
        <v>12</v>
      </c>
      <c r="E157" s="56">
        <f>0.08</f>
        <v>0.08</v>
      </c>
      <c r="F157" s="57">
        <f>'Gia NC,CM'!P8</f>
        <v>218559.2</v>
      </c>
      <c r="G157" s="58">
        <f>ROUND(E157*F157,5)</f>
        <v>17484.736</v>
      </c>
    </row>
    <row r="158" spans="1:7" ht="15">
      <c r="A158" s="8" t="s">
        <v>0</v>
      </c>
      <c r="B158" s="9" t="s">
        <v>0</v>
      </c>
      <c r="C158" s="9" t="s">
        <v>0</v>
      </c>
      <c r="D158" s="9" t="s">
        <v>0</v>
      </c>
      <c r="E158" s="56"/>
      <c r="F158" s="57"/>
      <c r="G158" s="58"/>
    </row>
    <row r="159" spans="1:7" ht="15">
      <c r="A159" s="8" t="s">
        <v>108</v>
      </c>
      <c r="B159" s="9" t="s">
        <v>114</v>
      </c>
      <c r="C159" s="9" t="s">
        <v>115</v>
      </c>
      <c r="D159" s="9" t="s">
        <v>89</v>
      </c>
      <c r="E159" s="56"/>
      <c r="F159" s="57"/>
      <c r="G159" s="58"/>
    </row>
    <row r="160" spans="1:7" ht="15.75">
      <c r="A160" s="8" t="s">
        <v>0</v>
      </c>
      <c r="B160" s="9" t="s">
        <v>0</v>
      </c>
      <c r="C160" s="9" t="s">
        <v>393</v>
      </c>
      <c r="D160" s="9" t="s">
        <v>0</v>
      </c>
      <c r="E160" s="56"/>
      <c r="F160" s="57"/>
      <c r="G160" s="59">
        <f>ROUND(SUM(G161:G163),5)</f>
        <v>7754.9754</v>
      </c>
    </row>
    <row r="161" spans="1:7" ht="15">
      <c r="A161" s="8" t="s">
        <v>0</v>
      </c>
      <c r="B161" s="9" t="s">
        <v>0</v>
      </c>
      <c r="C161" s="9" t="s">
        <v>116</v>
      </c>
      <c r="D161" s="9" t="s">
        <v>14</v>
      </c>
      <c r="E161" s="56">
        <f>0.006</f>
        <v>0.006</v>
      </c>
      <c r="F161" s="57">
        <f>'Gia NC,CM'!P26</f>
        <v>1292495.9</v>
      </c>
      <c r="G161" s="58">
        <f>ROUND(E161*F161,5)</f>
        <v>7754.9754</v>
      </c>
    </row>
    <row r="162" spans="1:7" ht="15">
      <c r="A162" s="8" t="s">
        <v>0</v>
      </c>
      <c r="B162" s="9" t="s">
        <v>0</v>
      </c>
      <c r="C162" s="9" t="s">
        <v>0</v>
      </c>
      <c r="D162" s="9" t="s">
        <v>0</v>
      </c>
      <c r="E162" s="56"/>
      <c r="F162" s="57"/>
      <c r="G162" s="58"/>
    </row>
    <row r="163" spans="1:7" ht="15">
      <c r="A163" s="8" t="s">
        <v>111</v>
      </c>
      <c r="B163" s="9" t="s">
        <v>119</v>
      </c>
      <c r="C163" s="9" t="s">
        <v>120</v>
      </c>
      <c r="D163" s="9" t="s">
        <v>5</v>
      </c>
      <c r="E163" s="56"/>
      <c r="F163" s="57"/>
      <c r="G163" s="58"/>
    </row>
    <row r="164" spans="1:7" ht="15.75">
      <c r="A164" s="8" t="s">
        <v>0</v>
      </c>
      <c r="B164" s="9" t="s">
        <v>0</v>
      </c>
      <c r="C164" s="9" t="s">
        <v>390</v>
      </c>
      <c r="D164" s="9" t="s">
        <v>0</v>
      </c>
      <c r="E164" s="56"/>
      <c r="F164" s="57"/>
      <c r="G164" s="59">
        <f>ROUND(SUM(G165:G171),5)</f>
        <v>315479.53874</v>
      </c>
    </row>
    <row r="165" spans="1:7" ht="15">
      <c r="A165" s="8" t="s">
        <v>0</v>
      </c>
      <c r="B165" s="9" t="s">
        <v>0</v>
      </c>
      <c r="C165" s="9" t="s">
        <v>121</v>
      </c>
      <c r="D165" s="9" t="s">
        <v>19</v>
      </c>
      <c r="E165" s="56">
        <f>1.01</f>
        <v>1.01</v>
      </c>
      <c r="F165" s="57">
        <f>'Gia VL'!Q20</f>
        <v>288889</v>
      </c>
      <c r="G165" s="58">
        <f aca="true" t="shared" si="0" ref="G165:G170">ROUND(E165*F165,5)</f>
        <v>291777.89</v>
      </c>
    </row>
    <row r="166" spans="1:7" ht="15">
      <c r="A166" s="8" t="s">
        <v>0</v>
      </c>
      <c r="B166" s="9" t="s">
        <v>0</v>
      </c>
      <c r="C166" s="9" t="s">
        <v>6</v>
      </c>
      <c r="D166" s="9" t="s">
        <v>7</v>
      </c>
      <c r="E166" s="56">
        <f>6.6</f>
        <v>6.6</v>
      </c>
      <c r="F166" s="57">
        <f>ROUND('Gia VL'!Q37/1000,5)</f>
        <v>1677.273</v>
      </c>
      <c r="G166" s="58">
        <f t="shared" si="0"/>
        <v>11070.0018</v>
      </c>
    </row>
    <row r="167" spans="1:7" ht="15">
      <c r="A167" s="8" t="s">
        <v>0</v>
      </c>
      <c r="B167" s="9" t="s">
        <v>0</v>
      </c>
      <c r="C167" s="9" t="s">
        <v>8</v>
      </c>
      <c r="D167" s="9" t="s">
        <v>9</v>
      </c>
      <c r="E167" s="56">
        <f>0.02975</f>
        <v>0.02975</v>
      </c>
      <c r="F167" s="57">
        <f>'Gia VL'!Q12</f>
        <v>317705.7</v>
      </c>
      <c r="G167" s="58">
        <f t="shared" si="0"/>
        <v>9451.74458</v>
      </c>
    </row>
    <row r="168" spans="1:7" ht="15">
      <c r="A168" s="8" t="s">
        <v>0</v>
      </c>
      <c r="B168" s="9" t="s">
        <v>0</v>
      </c>
      <c r="C168" s="9" t="s">
        <v>10</v>
      </c>
      <c r="D168" s="9" t="s">
        <v>9</v>
      </c>
      <c r="E168" s="56">
        <f>0.006875</f>
        <v>0.006875</v>
      </c>
      <c r="F168" s="57">
        <f>'Gia VL'!Q26</f>
        <v>9545.45</v>
      </c>
      <c r="G168" s="58">
        <f t="shared" si="0"/>
        <v>65.62497</v>
      </c>
    </row>
    <row r="169" spans="1:7" ht="15">
      <c r="A169" s="8" t="s">
        <v>0</v>
      </c>
      <c r="B169" s="9" t="s">
        <v>0</v>
      </c>
      <c r="C169" s="9" t="s">
        <v>122</v>
      </c>
      <c r="D169" s="9" t="s">
        <v>7</v>
      </c>
      <c r="E169" s="56">
        <f>0.65</f>
        <v>0.65</v>
      </c>
      <c r="F169" s="57">
        <f>ROUND('Gia VL'!Q39/1000,5)</f>
        <v>1677.273</v>
      </c>
      <c r="G169" s="58">
        <f t="shared" si="0"/>
        <v>1090.22745</v>
      </c>
    </row>
    <row r="170" spans="1:7" ht="15">
      <c r="A170" s="8" t="s">
        <v>0</v>
      </c>
      <c r="B170" s="9" t="s">
        <v>0</v>
      </c>
      <c r="C170" s="9" t="s">
        <v>123</v>
      </c>
      <c r="D170" s="9" t="s">
        <v>7</v>
      </c>
      <c r="E170" s="56">
        <f>0.1</f>
        <v>0.1</v>
      </c>
      <c r="F170" s="57">
        <f>ROUND('Gia VL'!Q40/1000,5)</f>
        <v>4545</v>
      </c>
      <c r="G170" s="58">
        <f t="shared" si="0"/>
        <v>454.5</v>
      </c>
    </row>
    <row r="171" spans="1:7" ht="15">
      <c r="A171" s="8" t="s">
        <v>0</v>
      </c>
      <c r="B171" s="9" t="s">
        <v>0</v>
      </c>
      <c r="C171" s="9" t="s">
        <v>389</v>
      </c>
      <c r="D171" s="9" t="s">
        <v>388</v>
      </c>
      <c r="E171" s="56">
        <f>0.5</f>
        <v>0.5</v>
      </c>
      <c r="F171" s="57"/>
      <c r="G171" s="58">
        <f>ROUND(SUM(G165:G170)*E171/100,5)</f>
        <v>1569.54994</v>
      </c>
    </row>
    <row r="172" spans="1:7" ht="15.75">
      <c r="A172" s="8" t="s">
        <v>0</v>
      </c>
      <c r="B172" s="9" t="s">
        <v>0</v>
      </c>
      <c r="C172" s="9" t="s">
        <v>387</v>
      </c>
      <c r="D172" s="9" t="s">
        <v>0</v>
      </c>
      <c r="E172" s="56"/>
      <c r="F172" s="57"/>
      <c r="G172" s="59">
        <f>ROUND(SUM(G173:G173),5)</f>
        <v>38327.758</v>
      </c>
    </row>
    <row r="173" spans="1:7" ht="15">
      <c r="A173" s="8" t="s">
        <v>0</v>
      </c>
      <c r="B173" s="9" t="s">
        <v>0</v>
      </c>
      <c r="C173" s="9" t="s">
        <v>11</v>
      </c>
      <c r="D173" s="9" t="s">
        <v>12</v>
      </c>
      <c r="E173" s="56">
        <f>0.14</f>
        <v>0.14</v>
      </c>
      <c r="F173" s="57">
        <f>'Gia NC,CM'!P12</f>
        <v>273769.7</v>
      </c>
      <c r="G173" s="58">
        <f>ROUND(E173*F173,5)</f>
        <v>38327.758</v>
      </c>
    </row>
    <row r="174" spans="1:7" ht="15.75">
      <c r="A174" s="8" t="s">
        <v>0</v>
      </c>
      <c r="B174" s="9" t="s">
        <v>0</v>
      </c>
      <c r="C174" s="9" t="s">
        <v>386</v>
      </c>
      <c r="D174" s="9" t="s">
        <v>0</v>
      </c>
      <c r="E174" s="56"/>
      <c r="F174" s="57"/>
      <c r="G174" s="59">
        <f>ROUND(SUM(G175:G177),5)</f>
        <v>1112.692</v>
      </c>
    </row>
    <row r="175" spans="1:7" ht="15">
      <c r="A175" s="8" t="s">
        <v>0</v>
      </c>
      <c r="B175" s="9" t="s">
        <v>0</v>
      </c>
      <c r="C175" s="9" t="s">
        <v>124</v>
      </c>
      <c r="D175" s="9" t="s">
        <v>14</v>
      </c>
      <c r="E175" s="56">
        <f>0.04</f>
        <v>0.04</v>
      </c>
      <c r="F175" s="57">
        <f>'Gia NC,CM'!P13</f>
        <v>27817.3</v>
      </c>
      <c r="G175" s="58">
        <f>ROUND(E175*F175,5)</f>
        <v>1112.692</v>
      </c>
    </row>
    <row r="176" spans="1:7" ht="15">
      <c r="A176" s="8" t="s">
        <v>0</v>
      </c>
      <c r="B176" s="9" t="s">
        <v>0</v>
      </c>
      <c r="C176" s="9" t="s">
        <v>0</v>
      </c>
      <c r="D176" s="9" t="s">
        <v>0</v>
      </c>
      <c r="E176" s="56"/>
      <c r="F176" s="57"/>
      <c r="G176" s="58"/>
    </row>
    <row r="177" spans="1:7" ht="15">
      <c r="A177" s="8" t="s">
        <v>112</v>
      </c>
      <c r="B177" s="9" t="s">
        <v>126</v>
      </c>
      <c r="C177" s="9" t="s">
        <v>127</v>
      </c>
      <c r="D177" s="9" t="s">
        <v>5</v>
      </c>
      <c r="E177" s="56"/>
      <c r="F177" s="57"/>
      <c r="G177" s="58"/>
    </row>
    <row r="178" spans="1:7" ht="15.75">
      <c r="A178" s="8" t="s">
        <v>0</v>
      </c>
      <c r="B178" s="9" t="s">
        <v>0</v>
      </c>
      <c r="C178" s="9" t="s">
        <v>390</v>
      </c>
      <c r="D178" s="9" t="s">
        <v>0</v>
      </c>
      <c r="E178" s="56"/>
      <c r="F178" s="57"/>
      <c r="G178" s="59">
        <f>ROUND(SUM(G179:G181),5)</f>
        <v>189000</v>
      </c>
    </row>
    <row r="179" spans="1:7" ht="15">
      <c r="A179" s="8" t="s">
        <v>0</v>
      </c>
      <c r="B179" s="9" t="s">
        <v>0</v>
      </c>
      <c r="C179" s="9" t="s">
        <v>128</v>
      </c>
      <c r="D179" s="9" t="s">
        <v>19</v>
      </c>
      <c r="E179" s="56">
        <f>1.05</f>
        <v>1.05</v>
      </c>
      <c r="F179" s="57">
        <f>'Gia VL'!Q35</f>
        <v>180000</v>
      </c>
      <c r="G179" s="58">
        <f>ROUND(E179*F179,5)</f>
        <v>189000</v>
      </c>
    </row>
    <row r="180" spans="1:7" ht="15">
      <c r="A180" s="8" t="s">
        <v>0</v>
      </c>
      <c r="B180" s="9" t="s">
        <v>0</v>
      </c>
      <c r="C180" s="9" t="s">
        <v>0</v>
      </c>
      <c r="D180" s="9" t="s">
        <v>0</v>
      </c>
      <c r="E180" s="56"/>
      <c r="F180" s="57"/>
      <c r="G180" s="58"/>
    </row>
    <row r="181" spans="1:7" ht="15">
      <c r="A181" s="8" t="s">
        <v>113</v>
      </c>
      <c r="B181" s="9" t="s">
        <v>148</v>
      </c>
      <c r="C181" s="9" t="s">
        <v>149</v>
      </c>
      <c r="D181" s="9" t="s">
        <v>19</v>
      </c>
      <c r="E181" s="56"/>
      <c r="F181" s="57"/>
      <c r="G181" s="58"/>
    </row>
    <row r="182" spans="1:7" ht="15.75">
      <c r="A182" s="8" t="s">
        <v>0</v>
      </c>
      <c r="B182" s="9" t="s">
        <v>0</v>
      </c>
      <c r="C182" s="9" t="s">
        <v>391</v>
      </c>
      <c r="D182" s="9" t="s">
        <v>0</v>
      </c>
      <c r="E182" s="56"/>
      <c r="F182" s="57"/>
      <c r="G182" s="59">
        <f>ROUND(SUM(G183:G185),5)</f>
        <v>21855.92</v>
      </c>
    </row>
    <row r="183" spans="1:7" ht="15">
      <c r="A183" s="8" t="s">
        <v>0</v>
      </c>
      <c r="B183" s="9" t="s">
        <v>0</v>
      </c>
      <c r="C183" s="9" t="s">
        <v>25</v>
      </c>
      <c r="D183" s="9" t="s">
        <v>12</v>
      </c>
      <c r="E183" s="56">
        <f>0.1</f>
        <v>0.1</v>
      </c>
      <c r="F183" s="57">
        <f>'Gia NC,CM'!P8</f>
        <v>218559.2</v>
      </c>
      <c r="G183" s="58">
        <f>ROUND(E183*F183,5)</f>
        <v>21855.92</v>
      </c>
    </row>
    <row r="184" spans="1:7" ht="15">
      <c r="A184" s="8" t="s">
        <v>0</v>
      </c>
      <c r="B184" s="9" t="s">
        <v>0</v>
      </c>
      <c r="C184" s="9" t="s">
        <v>0</v>
      </c>
      <c r="D184" s="9" t="s">
        <v>0</v>
      </c>
      <c r="E184" s="56"/>
      <c r="F184" s="57"/>
      <c r="G184" s="58"/>
    </row>
    <row r="185" spans="1:7" ht="15">
      <c r="A185" s="8" t="s">
        <v>117</v>
      </c>
      <c r="B185" s="9" t="s">
        <v>151</v>
      </c>
      <c r="C185" s="9" t="s">
        <v>588</v>
      </c>
      <c r="D185" s="9" t="s">
        <v>5</v>
      </c>
      <c r="E185" s="56"/>
      <c r="F185" s="57"/>
      <c r="G185" s="58"/>
    </row>
    <row r="186" spans="1:7" ht="15.75">
      <c r="A186" s="8" t="s">
        <v>0</v>
      </c>
      <c r="B186" s="9" t="s">
        <v>0</v>
      </c>
      <c r="C186" s="9" t="s">
        <v>392</v>
      </c>
      <c r="D186" s="9" t="s">
        <v>0</v>
      </c>
      <c r="E186" s="56"/>
      <c r="F186" s="57"/>
      <c r="G186" s="59">
        <f>ROUND(SUM(G187:G189),5)</f>
        <v>44403.32298</v>
      </c>
    </row>
    <row r="187" spans="1:7" ht="15">
      <c r="A187" s="8" t="s">
        <v>0</v>
      </c>
      <c r="B187" s="9" t="s">
        <v>0</v>
      </c>
      <c r="C187" s="9" t="s">
        <v>153</v>
      </c>
      <c r="D187" s="9" t="s">
        <v>7</v>
      </c>
      <c r="E187" s="56">
        <f>0.115</f>
        <v>0.115</v>
      </c>
      <c r="F187" s="57">
        <f>ROUND('Gia VL'!Q28/1000,5)</f>
        <v>87812.037</v>
      </c>
      <c r="G187" s="58">
        <f>ROUND(E187*F187,5)</f>
        <v>10098.38426</v>
      </c>
    </row>
    <row r="188" spans="1:7" ht="15">
      <c r="A188" s="8" t="s">
        <v>0</v>
      </c>
      <c r="B188" s="9" t="s">
        <v>0</v>
      </c>
      <c r="C188" s="9" t="s">
        <v>154</v>
      </c>
      <c r="D188" s="9" t="s">
        <v>7</v>
      </c>
      <c r="E188" s="56">
        <f>0.214</f>
        <v>0.214</v>
      </c>
      <c r="F188" s="57">
        <f>ROUND('Gia VL'!Q31/1000,5)</f>
        <v>158249.0741</v>
      </c>
      <c r="G188" s="58">
        <f>ROUND(E188*F188,5)</f>
        <v>33865.30186</v>
      </c>
    </row>
    <row r="189" spans="1:7" ht="15">
      <c r="A189" s="8" t="s">
        <v>0</v>
      </c>
      <c r="B189" s="9" t="s">
        <v>0</v>
      </c>
      <c r="C189" s="9" t="s">
        <v>389</v>
      </c>
      <c r="D189" s="9" t="s">
        <v>388</v>
      </c>
      <c r="E189" s="56">
        <f>1</f>
        <v>1</v>
      </c>
      <c r="F189" s="57"/>
      <c r="G189" s="58">
        <f>ROUND(SUM(G187:G188)*E189/100,5)</f>
        <v>439.63686</v>
      </c>
    </row>
    <row r="190" spans="1:7" ht="15.75">
      <c r="A190" s="8" t="s">
        <v>0</v>
      </c>
      <c r="B190" s="9" t="s">
        <v>0</v>
      </c>
      <c r="C190" s="9" t="s">
        <v>391</v>
      </c>
      <c r="D190" s="9" t="s">
        <v>0</v>
      </c>
      <c r="E190" s="56"/>
      <c r="F190" s="57"/>
      <c r="G190" s="59">
        <f>ROUND(SUM(G191:G193),5)</f>
        <v>27237.6</v>
      </c>
    </row>
    <row r="191" spans="1:7" ht="15">
      <c r="A191" s="8" t="s">
        <v>0</v>
      </c>
      <c r="B191" s="9" t="s">
        <v>0</v>
      </c>
      <c r="C191" s="9" t="s">
        <v>38</v>
      </c>
      <c r="D191" s="9" t="s">
        <v>12</v>
      </c>
      <c r="E191" s="56">
        <f>0.108</f>
        <v>0.108</v>
      </c>
      <c r="F191" s="57">
        <f>'Gia NC,CM'!P11</f>
        <v>252200</v>
      </c>
      <c r="G191" s="58">
        <f>ROUND(E191*F191,5)</f>
        <v>27237.6</v>
      </c>
    </row>
    <row r="192" spans="1:7" ht="15">
      <c r="A192" s="8" t="s">
        <v>0</v>
      </c>
      <c r="B192" s="9" t="s">
        <v>0</v>
      </c>
      <c r="C192" s="9" t="s">
        <v>0</v>
      </c>
      <c r="D192" s="9" t="s">
        <v>0</v>
      </c>
      <c r="E192" s="56"/>
      <c r="F192" s="57"/>
      <c r="G192" s="58"/>
    </row>
    <row r="193" spans="1:7" ht="15">
      <c r="A193" s="8" t="s">
        <v>118</v>
      </c>
      <c r="B193" s="9" t="s">
        <v>157</v>
      </c>
      <c r="C193" s="9" t="s">
        <v>158</v>
      </c>
      <c r="D193" s="9" t="s">
        <v>5</v>
      </c>
      <c r="E193" s="56"/>
      <c r="F193" s="57"/>
      <c r="G193" s="58"/>
    </row>
    <row r="194" spans="1:7" ht="15.75">
      <c r="A194" s="8" t="s">
        <v>0</v>
      </c>
      <c r="B194" s="9" t="s">
        <v>0</v>
      </c>
      <c r="C194" s="9" t="s">
        <v>387</v>
      </c>
      <c r="D194" s="9" t="s">
        <v>0</v>
      </c>
      <c r="E194" s="56"/>
      <c r="F194" s="57"/>
      <c r="G194" s="59">
        <f>ROUND(SUM(G195:G197),5)</f>
        <v>9560</v>
      </c>
    </row>
    <row r="195" spans="1:7" ht="15">
      <c r="A195" s="8" t="s">
        <v>0</v>
      </c>
      <c r="B195" s="9" t="s">
        <v>0</v>
      </c>
      <c r="C195" s="9" t="s">
        <v>78</v>
      </c>
      <c r="D195" s="9" t="s">
        <v>12</v>
      </c>
      <c r="E195" s="56">
        <f>0.04</f>
        <v>0.04</v>
      </c>
      <c r="F195" s="57">
        <f>'Gia NC,CM'!P10</f>
        <v>239000</v>
      </c>
      <c r="G195" s="58">
        <f>ROUND(E195*F195,5)</f>
        <v>9560</v>
      </c>
    </row>
    <row r="196" spans="1:7" ht="15">
      <c r="A196" s="8" t="s">
        <v>0</v>
      </c>
      <c r="B196" s="9" t="s">
        <v>0</v>
      </c>
      <c r="C196" s="9" t="s">
        <v>0</v>
      </c>
      <c r="D196" s="9" t="s">
        <v>0</v>
      </c>
      <c r="E196" s="56"/>
      <c r="F196" s="57"/>
      <c r="G196" s="58"/>
    </row>
    <row r="197" spans="1:7" ht="15">
      <c r="A197" s="8" t="s">
        <v>125</v>
      </c>
      <c r="B197" s="9" t="s">
        <v>160</v>
      </c>
      <c r="C197" s="9" t="s">
        <v>161</v>
      </c>
      <c r="D197" s="9" t="s">
        <v>162</v>
      </c>
      <c r="E197" s="56"/>
      <c r="F197" s="57"/>
      <c r="G197" s="58"/>
    </row>
    <row r="198" spans="1:7" ht="15.75">
      <c r="A198" s="8" t="s">
        <v>0</v>
      </c>
      <c r="B198" s="9" t="s">
        <v>0</v>
      </c>
      <c r="C198" s="9" t="s">
        <v>391</v>
      </c>
      <c r="D198" s="9" t="s">
        <v>0</v>
      </c>
      <c r="E198" s="56"/>
      <c r="F198" s="57"/>
      <c r="G198" s="59">
        <f>ROUND(SUM(G199:G201),5)</f>
        <v>35850</v>
      </c>
    </row>
    <row r="199" spans="1:7" ht="15">
      <c r="A199" s="8" t="s">
        <v>0</v>
      </c>
      <c r="B199" s="9" t="s">
        <v>0</v>
      </c>
      <c r="C199" s="9" t="s">
        <v>78</v>
      </c>
      <c r="D199" s="9" t="s">
        <v>12</v>
      </c>
      <c r="E199" s="56">
        <f>0.15</f>
        <v>0.15</v>
      </c>
      <c r="F199" s="57">
        <f>'Gia NC,CM'!P10</f>
        <v>239000</v>
      </c>
      <c r="G199" s="58">
        <f>ROUND(E199*F199,5)</f>
        <v>35850</v>
      </c>
    </row>
    <row r="200" spans="1:7" ht="15">
      <c r="A200" s="8" t="s">
        <v>0</v>
      </c>
      <c r="B200" s="9" t="s">
        <v>0</v>
      </c>
      <c r="C200" s="9" t="s">
        <v>0</v>
      </c>
      <c r="D200" s="9" t="s">
        <v>0</v>
      </c>
      <c r="E200" s="56"/>
      <c r="F200" s="57"/>
      <c r="G200" s="58"/>
    </row>
    <row r="201" spans="1:7" ht="15">
      <c r="A201" s="8" t="s">
        <v>130</v>
      </c>
      <c r="B201" s="9" t="s">
        <v>164</v>
      </c>
      <c r="C201" s="9" t="s">
        <v>165</v>
      </c>
      <c r="D201" s="9" t="s">
        <v>5</v>
      </c>
      <c r="E201" s="56"/>
      <c r="F201" s="57"/>
      <c r="G201" s="58"/>
    </row>
    <row r="202" spans="1:7" ht="15.75">
      <c r="A202" s="8" t="s">
        <v>0</v>
      </c>
      <c r="B202" s="9" t="s">
        <v>0</v>
      </c>
      <c r="C202" s="9" t="s">
        <v>390</v>
      </c>
      <c r="D202" s="9" t="s">
        <v>0</v>
      </c>
      <c r="E202" s="56"/>
      <c r="F202" s="57"/>
      <c r="G202" s="59">
        <f>ROUND(SUM(G203:G206),5)</f>
        <v>11441.46098</v>
      </c>
    </row>
    <row r="203" spans="1:7" ht="15">
      <c r="A203" s="8" t="s">
        <v>0</v>
      </c>
      <c r="B203" s="9" t="s">
        <v>0</v>
      </c>
      <c r="C203" s="9" t="s">
        <v>6</v>
      </c>
      <c r="D203" s="9" t="s">
        <v>7</v>
      </c>
      <c r="E203" s="56">
        <f>3.913</f>
        <v>3.913</v>
      </c>
      <c r="F203" s="57">
        <f>ROUND('Gia VL'!Q37/1000,5)</f>
        <v>1677.273</v>
      </c>
      <c r="G203" s="58">
        <f>ROUND(E203*F203,5)</f>
        <v>6563.16925</v>
      </c>
    </row>
    <row r="204" spans="1:7" ht="15">
      <c r="A204" s="8" t="s">
        <v>0</v>
      </c>
      <c r="B204" s="9" t="s">
        <v>0</v>
      </c>
      <c r="C204" s="9" t="s">
        <v>95</v>
      </c>
      <c r="D204" s="9" t="s">
        <v>9</v>
      </c>
      <c r="E204" s="56">
        <f>0.015067</f>
        <v>0.015067</v>
      </c>
      <c r="F204" s="57">
        <f>'Gia VL'!Q9</f>
        <v>317705.7</v>
      </c>
      <c r="G204" s="58">
        <f>ROUND(E204*F204,5)</f>
        <v>4786.87178</v>
      </c>
    </row>
    <row r="205" spans="1:7" ht="15">
      <c r="A205" s="8" t="s">
        <v>0</v>
      </c>
      <c r="B205" s="9" t="s">
        <v>0</v>
      </c>
      <c r="C205" s="9" t="s">
        <v>10</v>
      </c>
      <c r="D205" s="9" t="s">
        <v>9</v>
      </c>
      <c r="E205" s="56">
        <f>0.003614</f>
        <v>0.003614</v>
      </c>
      <c r="F205" s="57">
        <f>'Gia VL'!Q26</f>
        <v>9545.45</v>
      </c>
      <c r="G205" s="58">
        <f>ROUND(E205*F205,5)</f>
        <v>34.49726</v>
      </c>
    </row>
    <row r="206" spans="1:7" ht="15">
      <c r="A206" s="8" t="s">
        <v>0</v>
      </c>
      <c r="B206" s="9" t="s">
        <v>0</v>
      </c>
      <c r="C206" s="9" t="s">
        <v>389</v>
      </c>
      <c r="D206" s="9" t="s">
        <v>388</v>
      </c>
      <c r="E206" s="56">
        <f>0.5</f>
        <v>0.5</v>
      </c>
      <c r="F206" s="57"/>
      <c r="G206" s="58">
        <f>ROUND(SUM(G203:G205)*E206/100,5)</f>
        <v>56.92269</v>
      </c>
    </row>
    <row r="207" spans="1:7" ht="15.75">
      <c r="A207" s="8" t="s">
        <v>0</v>
      </c>
      <c r="B207" s="9" t="s">
        <v>0</v>
      </c>
      <c r="C207" s="9" t="s">
        <v>387</v>
      </c>
      <c r="D207" s="9" t="s">
        <v>0</v>
      </c>
      <c r="E207" s="56"/>
      <c r="F207" s="57"/>
      <c r="G207" s="59">
        <f>ROUND(SUM(G208:G208),5)</f>
        <v>136884.85</v>
      </c>
    </row>
    <row r="208" spans="1:7" ht="15">
      <c r="A208" s="8" t="s">
        <v>0</v>
      </c>
      <c r="B208" s="9" t="s">
        <v>0</v>
      </c>
      <c r="C208" s="9" t="s">
        <v>11</v>
      </c>
      <c r="D208" s="9" t="s">
        <v>12</v>
      </c>
      <c r="E208" s="56">
        <f>0.5</f>
        <v>0.5</v>
      </c>
      <c r="F208" s="57">
        <f>'Gia NC,CM'!P12</f>
        <v>273769.7</v>
      </c>
      <c r="G208" s="58">
        <f>ROUND(E208*F208,5)</f>
        <v>136884.85</v>
      </c>
    </row>
    <row r="209" spans="1:7" ht="15.75">
      <c r="A209" s="8" t="s">
        <v>0</v>
      </c>
      <c r="B209" s="9" t="s">
        <v>0</v>
      </c>
      <c r="C209" s="9" t="s">
        <v>386</v>
      </c>
      <c r="D209" s="9" t="s">
        <v>0</v>
      </c>
      <c r="E209" s="56"/>
      <c r="F209" s="57"/>
      <c r="G209" s="59">
        <f>ROUND(SUM(G210:G213),5)</f>
        <v>585.8972</v>
      </c>
    </row>
    <row r="210" spans="1:7" ht="15">
      <c r="A210" s="8" t="s">
        <v>0</v>
      </c>
      <c r="B210" s="9" t="s">
        <v>0</v>
      </c>
      <c r="C210" s="9" t="s">
        <v>13</v>
      </c>
      <c r="D210" s="9" t="s">
        <v>14</v>
      </c>
      <c r="E210" s="56">
        <f>0.002</f>
        <v>0.002</v>
      </c>
      <c r="F210" s="57">
        <f>'Gia NC,CM'!P15</f>
        <v>292948.6</v>
      </c>
      <c r="G210" s="58">
        <f>ROUND(E210*F210,5)</f>
        <v>585.8972</v>
      </c>
    </row>
    <row r="211" spans="1:7" ht="15">
      <c r="A211" s="8" t="s">
        <v>0</v>
      </c>
      <c r="B211" s="9" t="s">
        <v>0</v>
      </c>
      <c r="C211" s="9" t="s">
        <v>0</v>
      </c>
      <c r="D211" s="9" t="s">
        <v>0</v>
      </c>
      <c r="E211" s="56"/>
      <c r="F211" s="57"/>
      <c r="G211" s="58"/>
    </row>
    <row r="212" spans="1:7" ht="15">
      <c r="A212" s="8" t="s">
        <v>131</v>
      </c>
      <c r="B212" s="9" t="s">
        <v>168</v>
      </c>
      <c r="C212" s="9" t="s">
        <v>169</v>
      </c>
      <c r="D212" s="9" t="s">
        <v>19</v>
      </c>
      <c r="E212" s="56"/>
      <c r="F212" s="57"/>
      <c r="G212" s="58"/>
    </row>
    <row r="213" spans="1:7" ht="15">
      <c r="A213" s="8" t="s">
        <v>0</v>
      </c>
      <c r="B213" s="9" t="s">
        <v>0</v>
      </c>
      <c r="C213" s="9" t="s">
        <v>170</v>
      </c>
      <c r="D213" s="9" t="s">
        <v>0</v>
      </c>
      <c r="E213" s="56"/>
      <c r="F213" s="57"/>
      <c r="G213" s="58"/>
    </row>
    <row r="214" spans="1:7" ht="15.75">
      <c r="A214" s="8" t="s">
        <v>0</v>
      </c>
      <c r="B214" s="9" t="s">
        <v>0</v>
      </c>
      <c r="C214" s="9" t="s">
        <v>390</v>
      </c>
      <c r="D214" s="9" t="s">
        <v>0</v>
      </c>
      <c r="E214" s="56"/>
      <c r="F214" s="57"/>
      <c r="G214" s="59">
        <f>ROUND(SUM(G215:G217),5)</f>
        <v>2389335</v>
      </c>
    </row>
    <row r="215" spans="1:7" ht="15">
      <c r="A215" s="8" t="s">
        <v>0</v>
      </c>
      <c r="B215" s="9" t="s">
        <v>0</v>
      </c>
      <c r="C215" s="9" t="s">
        <v>171</v>
      </c>
      <c r="D215" s="9" t="s">
        <v>19</v>
      </c>
      <c r="E215" s="56">
        <f>1</f>
        <v>1</v>
      </c>
      <c r="F215" s="57">
        <f>'Gia VL'!Q18</f>
        <v>2389335</v>
      </c>
      <c r="G215" s="58">
        <f>ROUND(E215*F215,5)</f>
        <v>2389335</v>
      </c>
    </row>
    <row r="216" spans="1:7" ht="15">
      <c r="A216" s="8" t="s">
        <v>0</v>
      </c>
      <c r="B216" s="9" t="s">
        <v>0</v>
      </c>
      <c r="C216" s="9" t="s">
        <v>0</v>
      </c>
      <c r="D216" s="9" t="s">
        <v>0</v>
      </c>
      <c r="E216" s="56"/>
      <c r="F216" s="57"/>
      <c r="G216" s="58"/>
    </row>
    <row r="217" spans="1:7" ht="15">
      <c r="A217" s="8" t="s">
        <v>132</v>
      </c>
      <c r="B217" s="9" t="s">
        <v>173</v>
      </c>
      <c r="C217" s="9" t="s">
        <v>174</v>
      </c>
      <c r="D217" s="9" t="s">
        <v>175</v>
      </c>
      <c r="E217" s="56"/>
      <c r="F217" s="57"/>
      <c r="G217" s="58"/>
    </row>
    <row r="218" spans="1:7" ht="15.75">
      <c r="A218" s="8" t="s">
        <v>0</v>
      </c>
      <c r="B218" s="9" t="s">
        <v>0</v>
      </c>
      <c r="C218" s="9" t="s">
        <v>390</v>
      </c>
      <c r="D218" s="9" t="s">
        <v>0</v>
      </c>
      <c r="E218" s="56"/>
      <c r="F218" s="57"/>
      <c r="G218" s="59">
        <f>ROUND(SUM(G219:G220),5)</f>
        <v>2121800</v>
      </c>
    </row>
    <row r="219" spans="1:7" ht="15">
      <c r="A219" s="8" t="s">
        <v>0</v>
      </c>
      <c r="B219" s="9" t="s">
        <v>0</v>
      </c>
      <c r="C219" s="9" t="s">
        <v>176</v>
      </c>
      <c r="D219" s="9" t="s">
        <v>175</v>
      </c>
      <c r="E219" s="56">
        <f>1</f>
        <v>1</v>
      </c>
      <c r="F219" s="57">
        <f>'Gia VL'!Q27</f>
        <v>2121800</v>
      </c>
      <c r="G219" s="58">
        <f>ROUND(E219*F219,5)</f>
        <v>2121800</v>
      </c>
    </row>
    <row r="220" spans="1:7" ht="15">
      <c r="A220" s="8" t="s">
        <v>133</v>
      </c>
      <c r="B220" s="9" t="s">
        <v>178</v>
      </c>
      <c r="C220" s="9" t="s">
        <v>179</v>
      </c>
      <c r="D220" s="9" t="s">
        <v>180</v>
      </c>
      <c r="E220" s="56"/>
      <c r="F220" s="57"/>
      <c r="G220" s="58"/>
    </row>
    <row r="221" spans="1:7" ht="15.75">
      <c r="A221" s="8" t="s">
        <v>0</v>
      </c>
      <c r="B221" s="9" t="s">
        <v>0</v>
      </c>
      <c r="C221" s="9" t="s">
        <v>392</v>
      </c>
      <c r="D221" s="9" t="s">
        <v>0</v>
      </c>
      <c r="E221" s="56"/>
      <c r="F221" s="57"/>
      <c r="G221" s="59">
        <f>ROUND(SUM(G222:G223),5)</f>
        <v>450045</v>
      </c>
    </row>
    <row r="222" spans="1:7" ht="15">
      <c r="A222" s="8" t="s">
        <v>0</v>
      </c>
      <c r="B222" s="9" t="s">
        <v>0</v>
      </c>
      <c r="C222" s="9" t="s">
        <v>181</v>
      </c>
      <c r="D222" s="9" t="s">
        <v>175</v>
      </c>
      <c r="E222" s="56">
        <f>1</f>
        <v>1</v>
      </c>
      <c r="F222" s="57">
        <f>'Gia VL'!Q8</f>
        <v>450000</v>
      </c>
      <c r="G222" s="58">
        <f>ROUND(E222*F222,5)</f>
        <v>450000</v>
      </c>
    </row>
    <row r="223" spans="1:7" ht="15">
      <c r="A223" s="8" t="s">
        <v>0</v>
      </c>
      <c r="B223" s="9" t="s">
        <v>0</v>
      </c>
      <c r="C223" s="9" t="s">
        <v>389</v>
      </c>
      <c r="D223" s="9" t="s">
        <v>388</v>
      </c>
      <c r="E223" s="56">
        <f>0.01</f>
        <v>0.01</v>
      </c>
      <c r="F223" s="57"/>
      <c r="G223" s="58">
        <f>ROUND(SUM(G222:G222)*E223/100,5)</f>
        <v>45</v>
      </c>
    </row>
    <row r="224" spans="1:7" ht="15.75">
      <c r="A224" s="8" t="s">
        <v>0</v>
      </c>
      <c r="B224" s="9" t="s">
        <v>0</v>
      </c>
      <c r="C224" s="9" t="s">
        <v>391</v>
      </c>
      <c r="D224" s="9" t="s">
        <v>0</v>
      </c>
      <c r="E224" s="56"/>
      <c r="F224" s="57"/>
      <c r="G224" s="59">
        <f>ROUND(SUM(G225:G228),5)</f>
        <v>378300</v>
      </c>
    </row>
    <row r="225" spans="1:7" ht="15">
      <c r="A225" s="8" t="s">
        <v>0</v>
      </c>
      <c r="B225" s="9" t="s">
        <v>0</v>
      </c>
      <c r="C225" s="9" t="s">
        <v>38</v>
      </c>
      <c r="D225" s="9" t="s">
        <v>12</v>
      </c>
      <c r="E225" s="56">
        <f>1.5</f>
        <v>1.5</v>
      </c>
      <c r="F225" s="57">
        <f>'Gia NC,CM'!P11</f>
        <v>252200</v>
      </c>
      <c r="G225" s="58">
        <f>ROUND(E225*F225,5)</f>
        <v>378300</v>
      </c>
    </row>
    <row r="226" spans="1:7" ht="15">
      <c r="A226" s="8" t="s">
        <v>0</v>
      </c>
      <c r="B226" s="9" t="s">
        <v>0</v>
      </c>
      <c r="C226" s="9" t="s">
        <v>0</v>
      </c>
      <c r="D226" s="9" t="s">
        <v>0</v>
      </c>
      <c r="E226" s="56"/>
      <c r="F226" s="57"/>
      <c r="G226" s="58"/>
    </row>
    <row r="227" spans="1:7" ht="15">
      <c r="A227" s="8" t="s">
        <v>134</v>
      </c>
      <c r="B227" s="9" t="s">
        <v>184</v>
      </c>
      <c r="C227" s="9" t="s">
        <v>185</v>
      </c>
      <c r="D227" s="9" t="s">
        <v>24</v>
      </c>
      <c r="E227" s="56"/>
      <c r="F227" s="57"/>
      <c r="G227" s="58"/>
    </row>
    <row r="228" spans="1:7" ht="15">
      <c r="A228" s="8" t="s">
        <v>0</v>
      </c>
      <c r="B228" s="9" t="s">
        <v>0</v>
      </c>
      <c r="C228" s="9" t="s">
        <v>186</v>
      </c>
      <c r="D228" s="9" t="s">
        <v>0</v>
      </c>
      <c r="E228" s="56"/>
      <c r="F228" s="57"/>
      <c r="G228" s="58"/>
    </row>
    <row r="229" spans="1:7" ht="15.75">
      <c r="A229" s="8" t="s">
        <v>0</v>
      </c>
      <c r="B229" s="9" t="s">
        <v>0</v>
      </c>
      <c r="C229" s="9" t="s">
        <v>387</v>
      </c>
      <c r="D229" s="9" t="s">
        <v>0</v>
      </c>
      <c r="E229" s="56"/>
      <c r="F229" s="57"/>
      <c r="G229" s="59">
        <f>ROUND(SUM(G230:G230),5)</f>
        <v>10075.57912</v>
      </c>
    </row>
    <row r="230" spans="1:7" ht="15">
      <c r="A230" s="8" t="s">
        <v>0</v>
      </c>
      <c r="B230" s="9" t="s">
        <v>0</v>
      </c>
      <c r="C230" s="9" t="s">
        <v>25</v>
      </c>
      <c r="D230" s="9" t="s">
        <v>12</v>
      </c>
      <c r="E230" s="56">
        <f>0.0461</f>
        <v>0.0461</v>
      </c>
      <c r="F230" s="57">
        <f>'Gia NC,CM'!P8</f>
        <v>218559.2</v>
      </c>
      <c r="G230" s="58">
        <f>ROUND(E230*F230,5)</f>
        <v>10075.57912</v>
      </c>
    </row>
    <row r="231" spans="1:7" ht="15.75">
      <c r="A231" s="8" t="s">
        <v>0</v>
      </c>
      <c r="B231" s="9" t="s">
        <v>0</v>
      </c>
      <c r="C231" s="9" t="s">
        <v>386</v>
      </c>
      <c r="D231" s="9" t="s">
        <v>0</v>
      </c>
      <c r="E231" s="56"/>
      <c r="F231" s="57"/>
      <c r="G231" s="59">
        <f>ROUND(SUM(G232:G234),5)</f>
        <v>16283.15579</v>
      </c>
    </row>
    <row r="232" spans="1:7" ht="15">
      <c r="A232" s="8" t="s">
        <v>0</v>
      </c>
      <c r="B232" s="9" t="s">
        <v>0</v>
      </c>
      <c r="C232" s="9" t="s">
        <v>187</v>
      </c>
      <c r="D232" s="9" t="s">
        <v>14</v>
      </c>
      <c r="E232" s="56">
        <f>0.00897</f>
        <v>0.00897</v>
      </c>
      <c r="F232" s="57">
        <f>'Gia NC,CM'!P18</f>
        <v>1815290.5</v>
      </c>
      <c r="G232" s="58">
        <f>ROUND(E232*F232,5)</f>
        <v>16283.15579</v>
      </c>
    </row>
    <row r="233" spans="1:7" ht="15">
      <c r="A233" s="8" t="s">
        <v>0</v>
      </c>
      <c r="B233" s="9" t="s">
        <v>0</v>
      </c>
      <c r="C233" s="9" t="s">
        <v>0</v>
      </c>
      <c r="D233" s="9" t="s">
        <v>0</v>
      </c>
      <c r="E233" s="56"/>
      <c r="F233" s="57"/>
      <c r="G233" s="58"/>
    </row>
    <row r="234" spans="1:7" ht="15">
      <c r="A234" s="8" t="s">
        <v>135</v>
      </c>
      <c r="B234" s="9" t="s">
        <v>189</v>
      </c>
      <c r="C234" s="9" t="s">
        <v>190</v>
      </c>
      <c r="D234" s="9" t="s">
        <v>24</v>
      </c>
      <c r="E234" s="56"/>
      <c r="F234" s="57"/>
      <c r="G234" s="58"/>
    </row>
    <row r="235" spans="1:7" ht="15.75">
      <c r="A235" s="8" t="s">
        <v>0</v>
      </c>
      <c r="B235" s="9" t="s">
        <v>0</v>
      </c>
      <c r="C235" s="9" t="s">
        <v>387</v>
      </c>
      <c r="D235" s="9" t="s">
        <v>0</v>
      </c>
      <c r="E235" s="56"/>
      <c r="F235" s="57"/>
      <c r="G235" s="59">
        <f>ROUND(SUM(G236:G238),5)</f>
        <v>271013.408</v>
      </c>
    </row>
    <row r="236" spans="1:7" ht="15">
      <c r="A236" s="8" t="s">
        <v>0</v>
      </c>
      <c r="B236" s="9" t="s">
        <v>0</v>
      </c>
      <c r="C236" s="9" t="s">
        <v>25</v>
      </c>
      <c r="D236" s="9" t="s">
        <v>12</v>
      </c>
      <c r="E236" s="56">
        <f>1.24</f>
        <v>1.24</v>
      </c>
      <c r="F236" s="57">
        <f>'Gia NC,CM'!P8</f>
        <v>218559.2</v>
      </c>
      <c r="G236" s="58">
        <f>ROUND(E236*F236,5)</f>
        <v>271013.408</v>
      </c>
    </row>
    <row r="237" spans="1:7" ht="15">
      <c r="A237" s="8" t="s">
        <v>0</v>
      </c>
      <c r="B237" s="9" t="s">
        <v>0</v>
      </c>
      <c r="C237" s="9" t="s">
        <v>0</v>
      </c>
      <c r="D237" s="9" t="s">
        <v>0</v>
      </c>
      <c r="E237" s="56"/>
      <c r="F237" s="57"/>
      <c r="G237" s="58"/>
    </row>
    <row r="238" spans="1:7" ht="15">
      <c r="A238" s="8" t="s">
        <v>136</v>
      </c>
      <c r="B238" s="9" t="s">
        <v>193</v>
      </c>
      <c r="C238" s="9" t="s">
        <v>194</v>
      </c>
      <c r="D238" s="9" t="s">
        <v>5</v>
      </c>
      <c r="E238" s="56"/>
      <c r="F238" s="57"/>
      <c r="G238" s="58"/>
    </row>
    <row r="239" spans="1:7" ht="15.75">
      <c r="A239" s="8" t="s">
        <v>0</v>
      </c>
      <c r="B239" s="9" t="s">
        <v>0</v>
      </c>
      <c r="C239" s="9" t="s">
        <v>390</v>
      </c>
      <c r="D239" s="9" t="s">
        <v>0</v>
      </c>
      <c r="E239" s="56"/>
      <c r="F239" s="57"/>
      <c r="G239" s="59">
        <f>ROUND(SUM(G240:G244),5)</f>
        <v>57335.86362</v>
      </c>
    </row>
    <row r="240" spans="1:7" ht="15">
      <c r="A240" s="8" t="s">
        <v>0</v>
      </c>
      <c r="B240" s="9" t="s">
        <v>0</v>
      </c>
      <c r="C240" s="9" t="s">
        <v>34</v>
      </c>
      <c r="D240" s="9" t="s">
        <v>9</v>
      </c>
      <c r="E240" s="56">
        <f>0.00794</f>
        <v>0.00794</v>
      </c>
      <c r="F240" s="57">
        <f>'Gia VL'!Q24</f>
        <v>4090909.09</v>
      </c>
      <c r="G240" s="58">
        <f>ROUND(E240*F240,5)</f>
        <v>32481.81817</v>
      </c>
    </row>
    <row r="241" spans="1:7" ht="15">
      <c r="A241" s="8" t="s">
        <v>0</v>
      </c>
      <c r="B241" s="9" t="s">
        <v>0</v>
      </c>
      <c r="C241" s="9" t="s">
        <v>35</v>
      </c>
      <c r="D241" s="9" t="s">
        <v>9</v>
      </c>
      <c r="E241" s="56">
        <f>0.00087</f>
        <v>0.00087</v>
      </c>
      <c r="F241" s="57">
        <f>'Gia VL'!Q25</f>
        <v>4090909.09</v>
      </c>
      <c r="G241" s="58">
        <f>ROUND(E241*F241,5)</f>
        <v>3559.09091</v>
      </c>
    </row>
    <row r="242" spans="1:7" ht="15">
      <c r="A242" s="8" t="s">
        <v>0</v>
      </c>
      <c r="B242" s="9" t="s">
        <v>0</v>
      </c>
      <c r="C242" s="9" t="s">
        <v>36</v>
      </c>
      <c r="D242" s="9" t="s">
        <v>9</v>
      </c>
      <c r="E242" s="56">
        <f>0.00459</f>
        <v>0.00459</v>
      </c>
      <c r="F242" s="57">
        <f>'Gia VL'!Q23</f>
        <v>4090909.09</v>
      </c>
      <c r="G242" s="58">
        <f>ROUND(E242*F242,5)</f>
        <v>18777.27272</v>
      </c>
    </row>
    <row r="243" spans="1:7" ht="15">
      <c r="A243" s="8" t="s">
        <v>0</v>
      </c>
      <c r="B243" s="9" t="s">
        <v>0</v>
      </c>
      <c r="C243" s="9" t="s">
        <v>37</v>
      </c>
      <c r="D243" s="9" t="s">
        <v>7</v>
      </c>
      <c r="E243" s="56">
        <f>0.12</f>
        <v>0.12</v>
      </c>
      <c r="F243" s="57">
        <f>ROUND('Gia VL'!Q41/1000,5)</f>
        <v>16250</v>
      </c>
      <c r="G243" s="58">
        <f>ROUND(E243*F243,5)</f>
        <v>1950</v>
      </c>
    </row>
    <row r="244" spans="1:7" ht="15">
      <c r="A244" s="8" t="s">
        <v>0</v>
      </c>
      <c r="B244" s="9" t="s">
        <v>0</v>
      </c>
      <c r="C244" s="9" t="s">
        <v>389</v>
      </c>
      <c r="D244" s="9" t="s">
        <v>388</v>
      </c>
      <c r="E244" s="56">
        <f>1</f>
        <v>1</v>
      </c>
      <c r="F244" s="57"/>
      <c r="G244" s="58">
        <f>ROUND(SUM(G240:G243)*E244/100,5)</f>
        <v>567.68182</v>
      </c>
    </row>
    <row r="245" spans="1:7" ht="15.75">
      <c r="A245" s="8" t="s">
        <v>0</v>
      </c>
      <c r="B245" s="9" t="s">
        <v>0</v>
      </c>
      <c r="C245" s="9" t="s">
        <v>387</v>
      </c>
      <c r="D245" s="9" t="s">
        <v>0</v>
      </c>
      <c r="E245" s="56"/>
      <c r="F245" s="57"/>
      <c r="G245" s="59">
        <f>ROUND(SUM(G246:G248),5)</f>
        <v>34324.42</v>
      </c>
    </row>
    <row r="246" spans="1:7" ht="15">
      <c r="A246" s="8" t="s">
        <v>0</v>
      </c>
      <c r="B246" s="9" t="s">
        <v>0</v>
      </c>
      <c r="C246" s="9" t="s">
        <v>38</v>
      </c>
      <c r="D246" s="9" t="s">
        <v>12</v>
      </c>
      <c r="E246" s="56">
        <f>0.1361</f>
        <v>0.1361</v>
      </c>
      <c r="F246" s="57">
        <f>'Gia NC,CM'!P11</f>
        <v>252200</v>
      </c>
      <c r="G246" s="58">
        <f>ROUND(E246*F246,5)</f>
        <v>34324.42</v>
      </c>
    </row>
    <row r="247" spans="1:7" ht="15">
      <c r="A247" s="8" t="s">
        <v>0</v>
      </c>
      <c r="B247" s="9" t="s">
        <v>0</v>
      </c>
      <c r="C247" s="9" t="s">
        <v>0</v>
      </c>
      <c r="D247" s="9" t="s">
        <v>0</v>
      </c>
      <c r="E247" s="56"/>
      <c r="F247" s="57"/>
      <c r="G247" s="58"/>
    </row>
    <row r="248" spans="1:7" ht="15">
      <c r="A248" s="8" t="s">
        <v>137</v>
      </c>
      <c r="B248" s="9" t="s">
        <v>197</v>
      </c>
      <c r="C248" s="9" t="s">
        <v>198</v>
      </c>
      <c r="D248" s="9" t="s">
        <v>24</v>
      </c>
      <c r="E248" s="56"/>
      <c r="F248" s="57"/>
      <c r="G248" s="58"/>
    </row>
    <row r="249" spans="1:7" ht="15.75">
      <c r="A249" s="8" t="s">
        <v>0</v>
      </c>
      <c r="B249" s="9" t="s">
        <v>0</v>
      </c>
      <c r="C249" s="9" t="s">
        <v>390</v>
      </c>
      <c r="D249" s="9" t="s">
        <v>0</v>
      </c>
      <c r="E249" s="56"/>
      <c r="F249" s="57"/>
      <c r="G249" s="59">
        <f>ROUND(SUM(G250:G254),5)</f>
        <v>904095.51168</v>
      </c>
    </row>
    <row r="250" spans="1:7" ht="15">
      <c r="A250" s="8" t="s">
        <v>0</v>
      </c>
      <c r="B250" s="9" t="s">
        <v>0</v>
      </c>
      <c r="C250" s="9" t="s">
        <v>122</v>
      </c>
      <c r="D250" s="9" t="s">
        <v>7</v>
      </c>
      <c r="E250" s="56">
        <f>222.425</f>
        <v>222.425</v>
      </c>
      <c r="F250" s="57">
        <f>ROUND('Gia VL'!Q39/1000,5)</f>
        <v>1677.273</v>
      </c>
      <c r="G250" s="58">
        <f>ROUND(E250*F250,5)</f>
        <v>373067.44703</v>
      </c>
    </row>
    <row r="251" spans="1:7" ht="15">
      <c r="A251" s="8" t="s">
        <v>0</v>
      </c>
      <c r="B251" s="9" t="s">
        <v>0</v>
      </c>
      <c r="C251" s="9" t="s">
        <v>44</v>
      </c>
      <c r="D251" s="9" t="s">
        <v>9</v>
      </c>
      <c r="E251" s="56">
        <f>0.552475</f>
        <v>0.552475</v>
      </c>
      <c r="F251" s="57">
        <f>'Gia VL'!Q15</f>
        <v>363160.7</v>
      </c>
      <c r="G251" s="58">
        <f>ROUND(E251*F251,5)</f>
        <v>200637.20773</v>
      </c>
    </row>
    <row r="252" spans="1:7" ht="15">
      <c r="A252" s="8" t="s">
        <v>0</v>
      </c>
      <c r="B252" s="9" t="s">
        <v>0</v>
      </c>
      <c r="C252" s="9" t="s">
        <v>199</v>
      </c>
      <c r="D252" s="9" t="s">
        <v>9</v>
      </c>
      <c r="E252" s="56">
        <f>0.909175</f>
        <v>0.909175</v>
      </c>
      <c r="F252" s="57">
        <f>'Gia VL'!Q42</f>
        <v>351581.3</v>
      </c>
      <c r="G252" s="58">
        <f>ROUND(E252*F252,5)</f>
        <v>319648.92843</v>
      </c>
    </row>
    <row r="253" spans="1:7" ht="15">
      <c r="A253" s="8" t="s">
        <v>0</v>
      </c>
      <c r="B253" s="9" t="s">
        <v>0</v>
      </c>
      <c r="C253" s="9" t="s">
        <v>10</v>
      </c>
      <c r="D253" s="9" t="s">
        <v>9</v>
      </c>
      <c r="E253" s="56">
        <f>0.187575</f>
        <v>0.187575</v>
      </c>
      <c r="F253" s="57">
        <f>'Gia VL'!Q26</f>
        <v>9545.45</v>
      </c>
      <c r="G253" s="58">
        <f>ROUND(E253*F253,5)</f>
        <v>1790.48778</v>
      </c>
    </row>
    <row r="254" spans="1:7" ht="15">
      <c r="A254" s="8" t="s">
        <v>0</v>
      </c>
      <c r="B254" s="9" t="s">
        <v>0</v>
      </c>
      <c r="C254" s="9" t="s">
        <v>389</v>
      </c>
      <c r="D254" s="9" t="s">
        <v>388</v>
      </c>
      <c r="E254" s="56">
        <f>1</f>
        <v>1</v>
      </c>
      <c r="F254" s="57"/>
      <c r="G254" s="58">
        <f>ROUND(SUM(G250:G253)*E254/100,5)</f>
        <v>8951.44071</v>
      </c>
    </row>
    <row r="255" spans="1:7" ht="15.75">
      <c r="A255" s="8" t="s">
        <v>0</v>
      </c>
      <c r="B255" s="9" t="s">
        <v>0</v>
      </c>
      <c r="C255" s="9" t="s">
        <v>387</v>
      </c>
      <c r="D255" s="9" t="s">
        <v>0</v>
      </c>
      <c r="E255" s="56"/>
      <c r="F255" s="57"/>
      <c r="G255" s="59">
        <f>ROUND(SUM(G256:G256),5)</f>
        <v>274450.057</v>
      </c>
    </row>
    <row r="256" spans="1:7" ht="15">
      <c r="A256" s="8" t="s">
        <v>0</v>
      </c>
      <c r="B256" s="9" t="s">
        <v>0</v>
      </c>
      <c r="C256" s="9" t="s">
        <v>46</v>
      </c>
      <c r="D256" s="9" t="s">
        <v>12</v>
      </c>
      <c r="E256" s="56">
        <f>1.19</f>
        <v>1.19</v>
      </c>
      <c r="F256" s="57">
        <f>'Gia NC,CM'!P9</f>
        <v>230630.3</v>
      </c>
      <c r="G256" s="58">
        <f>ROUND(E256*F256,5)</f>
        <v>274450.057</v>
      </c>
    </row>
    <row r="257" spans="1:7" ht="15.75">
      <c r="A257" s="8" t="s">
        <v>0</v>
      </c>
      <c r="B257" s="9" t="s">
        <v>0</v>
      </c>
      <c r="C257" s="9" t="s">
        <v>386</v>
      </c>
      <c r="D257" s="9" t="s">
        <v>0</v>
      </c>
      <c r="E257" s="56"/>
      <c r="F257" s="57"/>
      <c r="G257" s="59">
        <f>ROUND(SUM(G258:G262),5)</f>
        <v>54409.0095</v>
      </c>
    </row>
    <row r="258" spans="1:7" ht="15">
      <c r="A258" s="8" t="s">
        <v>0</v>
      </c>
      <c r="B258" s="9" t="s">
        <v>0</v>
      </c>
      <c r="C258" s="9" t="s">
        <v>47</v>
      </c>
      <c r="D258" s="9" t="s">
        <v>14</v>
      </c>
      <c r="E258" s="56">
        <f>0.095</f>
        <v>0.095</v>
      </c>
      <c r="F258" s="57">
        <f>'Gia NC,CM'!P16</f>
        <v>318885.3</v>
      </c>
      <c r="G258" s="58">
        <f>ROUND(E258*F258,5)</f>
        <v>30294.1035</v>
      </c>
    </row>
    <row r="259" spans="1:7" ht="15">
      <c r="A259" s="8" t="s">
        <v>0</v>
      </c>
      <c r="B259" s="9" t="s">
        <v>0</v>
      </c>
      <c r="C259" s="9" t="s">
        <v>48</v>
      </c>
      <c r="D259" s="9" t="s">
        <v>14</v>
      </c>
      <c r="E259" s="56">
        <f>0.089</f>
        <v>0.089</v>
      </c>
      <c r="F259" s="57">
        <f>'Gia NC,CM'!P19</f>
        <v>270954</v>
      </c>
      <c r="G259" s="58">
        <f>ROUND(E259*F259,5)</f>
        <v>24114.906</v>
      </c>
    </row>
    <row r="260" spans="1:7" ht="15">
      <c r="A260" s="8" t="s">
        <v>0</v>
      </c>
      <c r="B260" s="9" t="s">
        <v>0</v>
      </c>
      <c r="C260" s="9" t="s">
        <v>0</v>
      </c>
      <c r="D260" s="9" t="s">
        <v>0</v>
      </c>
      <c r="E260" s="56"/>
      <c r="F260" s="57"/>
      <c r="G260" s="58"/>
    </row>
    <row r="261" spans="1:7" ht="15">
      <c r="A261" s="8" t="s">
        <v>138</v>
      </c>
      <c r="B261" s="9" t="s">
        <v>201</v>
      </c>
      <c r="C261" s="9" t="s">
        <v>202</v>
      </c>
      <c r="D261" s="9" t="s">
        <v>203</v>
      </c>
      <c r="E261" s="56"/>
      <c r="F261" s="57"/>
      <c r="G261" s="58"/>
    </row>
    <row r="262" spans="1:7" ht="15">
      <c r="A262" s="8" t="s">
        <v>0</v>
      </c>
      <c r="B262" s="9" t="s">
        <v>0</v>
      </c>
      <c r="C262" s="9" t="s">
        <v>204</v>
      </c>
      <c r="D262" s="9" t="s">
        <v>0</v>
      </c>
      <c r="E262" s="56"/>
      <c r="F262" s="57"/>
      <c r="G262" s="58"/>
    </row>
    <row r="263" spans="1:7" ht="15.75">
      <c r="A263" s="8" t="s">
        <v>0</v>
      </c>
      <c r="B263" s="9" t="s">
        <v>0</v>
      </c>
      <c r="C263" s="9" t="s">
        <v>390</v>
      </c>
      <c r="D263" s="9" t="s">
        <v>0</v>
      </c>
      <c r="E263" s="56"/>
      <c r="F263" s="57"/>
      <c r="G263" s="59">
        <f>ROUND(SUM(G264:G265),5)</f>
        <v>16592387.5</v>
      </c>
    </row>
    <row r="264" spans="1:7" ht="15">
      <c r="A264" s="8" t="s">
        <v>0</v>
      </c>
      <c r="B264" s="9" t="s">
        <v>0</v>
      </c>
      <c r="C264" s="9" t="s">
        <v>205</v>
      </c>
      <c r="D264" s="9" t="s">
        <v>7</v>
      </c>
      <c r="E264" s="56">
        <f>1005</f>
        <v>1005</v>
      </c>
      <c r="F264" s="57">
        <f>ROUND('Gia VL'!Q34/1000,5)</f>
        <v>16250</v>
      </c>
      <c r="G264" s="58">
        <f>ROUND(E264*F264,5)</f>
        <v>16331250</v>
      </c>
    </row>
    <row r="265" spans="1:7" ht="15">
      <c r="A265" s="8" t="s">
        <v>0</v>
      </c>
      <c r="B265" s="9" t="s">
        <v>0</v>
      </c>
      <c r="C265" s="9" t="s">
        <v>206</v>
      </c>
      <c r="D265" s="9" t="s">
        <v>7</v>
      </c>
      <c r="E265" s="56">
        <f>16.07</f>
        <v>16.07</v>
      </c>
      <c r="F265" s="57">
        <f>ROUND('Gia VL'!Q19/1000,5)</f>
        <v>16250</v>
      </c>
      <c r="G265" s="58">
        <f>ROUND(E265*F265,5)</f>
        <v>261137.5</v>
      </c>
    </row>
    <row r="266" spans="1:7" ht="15.75">
      <c r="A266" s="8" t="s">
        <v>0</v>
      </c>
      <c r="B266" s="9" t="s">
        <v>0</v>
      </c>
      <c r="C266" s="9" t="s">
        <v>387</v>
      </c>
      <c r="D266" s="9" t="s">
        <v>0</v>
      </c>
      <c r="E266" s="56"/>
      <c r="F266" s="57"/>
      <c r="G266" s="59">
        <f>ROUND(SUM(G267:G267),5)</f>
        <v>4655612</v>
      </c>
    </row>
    <row r="267" spans="1:7" ht="15">
      <c r="A267" s="8" t="s">
        <v>0</v>
      </c>
      <c r="B267" s="9" t="s">
        <v>0</v>
      </c>
      <c r="C267" s="9" t="s">
        <v>38</v>
      </c>
      <c r="D267" s="9" t="s">
        <v>12</v>
      </c>
      <c r="E267" s="56">
        <f>18.46</f>
        <v>18.46</v>
      </c>
      <c r="F267" s="57">
        <f>'Gia NC,CM'!P11</f>
        <v>252200</v>
      </c>
      <c r="G267" s="58">
        <f>ROUND(E267*F267,5)</f>
        <v>4655612</v>
      </c>
    </row>
    <row r="268" spans="1:7" ht="15.75">
      <c r="A268" s="8" t="s">
        <v>0</v>
      </c>
      <c r="B268" s="9" t="s">
        <v>0</v>
      </c>
      <c r="C268" s="9" t="s">
        <v>386</v>
      </c>
      <c r="D268" s="9" t="s">
        <v>0</v>
      </c>
      <c r="E268" s="56"/>
      <c r="F268" s="57"/>
      <c r="G268" s="59">
        <f>ROUND(SUM(G269:G271),5)</f>
        <v>111746.08</v>
      </c>
    </row>
    <row r="269" spans="1:7" ht="15">
      <c r="A269" s="8" t="s">
        <v>0</v>
      </c>
      <c r="B269" s="9" t="s">
        <v>0</v>
      </c>
      <c r="C269" s="9" t="s">
        <v>207</v>
      </c>
      <c r="D269" s="9" t="s">
        <v>14</v>
      </c>
      <c r="E269" s="56">
        <f>0.4</f>
        <v>0.4</v>
      </c>
      <c r="F269" s="57">
        <f>'Gia NC,CM'!P14</f>
        <v>279365.2</v>
      </c>
      <c r="G269" s="58">
        <f>ROUND(E269*F269,5)</f>
        <v>111746.08</v>
      </c>
    </row>
    <row r="270" spans="1:7" ht="15">
      <c r="A270" s="8" t="s">
        <v>0</v>
      </c>
      <c r="B270" s="9" t="s">
        <v>0</v>
      </c>
      <c r="C270" s="9" t="s">
        <v>0</v>
      </c>
      <c r="D270" s="9" t="s">
        <v>0</v>
      </c>
      <c r="E270" s="56"/>
      <c r="F270" s="57"/>
      <c r="G270" s="58"/>
    </row>
    <row r="271" spans="1:7" ht="15">
      <c r="A271" s="8" t="s">
        <v>139</v>
      </c>
      <c r="B271" s="9" t="s">
        <v>209</v>
      </c>
      <c r="C271" s="9" t="s">
        <v>210</v>
      </c>
      <c r="D271" s="9" t="s">
        <v>5</v>
      </c>
      <c r="E271" s="56"/>
      <c r="F271" s="57"/>
      <c r="G271" s="58"/>
    </row>
    <row r="272" spans="1:7" ht="15.75">
      <c r="A272" s="8" t="s">
        <v>0</v>
      </c>
      <c r="B272" s="9" t="s">
        <v>0</v>
      </c>
      <c r="C272" s="9" t="s">
        <v>390</v>
      </c>
      <c r="D272" s="9" t="s">
        <v>0</v>
      </c>
      <c r="E272" s="56"/>
      <c r="F272" s="57"/>
      <c r="G272" s="59">
        <f>ROUND(SUM(G273:G277),5)</f>
        <v>82502.61895</v>
      </c>
    </row>
    <row r="273" spans="1:7" ht="15">
      <c r="A273" s="8" t="s">
        <v>0</v>
      </c>
      <c r="B273" s="9" t="s">
        <v>0</v>
      </c>
      <c r="C273" s="9" t="s">
        <v>34</v>
      </c>
      <c r="D273" s="9" t="s">
        <v>9</v>
      </c>
      <c r="E273" s="56">
        <f>0.00794</f>
        <v>0.00794</v>
      </c>
      <c r="F273" s="57">
        <f>'Gia VL'!Q24</f>
        <v>4090909.09</v>
      </c>
      <c r="G273" s="58">
        <f>ROUND(E273*F273,5)</f>
        <v>32481.81817</v>
      </c>
    </row>
    <row r="274" spans="1:7" ht="15">
      <c r="A274" s="8" t="s">
        <v>0</v>
      </c>
      <c r="B274" s="9" t="s">
        <v>0</v>
      </c>
      <c r="C274" s="9" t="s">
        <v>35</v>
      </c>
      <c r="D274" s="9" t="s">
        <v>9</v>
      </c>
      <c r="E274" s="56">
        <f>0.00189</f>
        <v>0.00189</v>
      </c>
      <c r="F274" s="57">
        <f>'Gia VL'!Q25</f>
        <v>4090909.09</v>
      </c>
      <c r="G274" s="58">
        <f>ROUND(E274*F274,5)</f>
        <v>7731.81818</v>
      </c>
    </row>
    <row r="275" spans="1:7" ht="15">
      <c r="A275" s="8" t="s">
        <v>0</v>
      </c>
      <c r="B275" s="9" t="s">
        <v>0</v>
      </c>
      <c r="C275" s="9" t="s">
        <v>36</v>
      </c>
      <c r="D275" s="9" t="s">
        <v>9</v>
      </c>
      <c r="E275" s="56">
        <f>0.00957</f>
        <v>0.00957</v>
      </c>
      <c r="F275" s="57">
        <f>'Gia VL'!Q23</f>
        <v>4090909.09</v>
      </c>
      <c r="G275" s="58">
        <f>ROUND(E275*F275,5)</f>
        <v>39149.99999</v>
      </c>
    </row>
    <row r="276" spans="1:7" ht="15">
      <c r="A276" s="8" t="s">
        <v>0</v>
      </c>
      <c r="B276" s="9" t="s">
        <v>0</v>
      </c>
      <c r="C276" s="9" t="s">
        <v>37</v>
      </c>
      <c r="D276" s="9" t="s">
        <v>7</v>
      </c>
      <c r="E276" s="56">
        <f>0.1429</f>
        <v>0.1429</v>
      </c>
      <c r="F276" s="57">
        <f>ROUND('Gia VL'!Q41/1000,5)</f>
        <v>16250</v>
      </c>
      <c r="G276" s="58">
        <f>ROUND(E276*F276,5)</f>
        <v>2322.125</v>
      </c>
    </row>
    <row r="277" spans="1:7" ht="15">
      <c r="A277" s="8" t="s">
        <v>0</v>
      </c>
      <c r="B277" s="9" t="s">
        <v>0</v>
      </c>
      <c r="C277" s="9" t="s">
        <v>389</v>
      </c>
      <c r="D277" s="9" t="s">
        <v>388</v>
      </c>
      <c r="E277" s="56">
        <f>1</f>
        <v>1</v>
      </c>
      <c r="F277" s="57"/>
      <c r="G277" s="58">
        <f>ROUND(SUM(G273:G276)*E277/100,5)</f>
        <v>816.85761</v>
      </c>
    </row>
    <row r="278" spans="1:7" ht="15.75">
      <c r="A278" s="8" t="s">
        <v>0</v>
      </c>
      <c r="B278" s="9" t="s">
        <v>0</v>
      </c>
      <c r="C278" s="9" t="s">
        <v>387</v>
      </c>
      <c r="D278" s="9" t="s">
        <v>0</v>
      </c>
      <c r="E278" s="56"/>
      <c r="F278" s="57"/>
      <c r="G278" s="59">
        <f>ROUND(SUM(G279:G282),5)</f>
        <v>69355</v>
      </c>
    </row>
    <row r="279" spans="1:7" ht="15">
      <c r="A279" s="8" t="s">
        <v>0</v>
      </c>
      <c r="B279" s="9" t="s">
        <v>0</v>
      </c>
      <c r="C279" s="9" t="s">
        <v>38</v>
      </c>
      <c r="D279" s="9" t="s">
        <v>12</v>
      </c>
      <c r="E279" s="56">
        <f>0.275</f>
        <v>0.275</v>
      </c>
      <c r="F279" s="57">
        <f>'Gia NC,CM'!P11</f>
        <v>252200</v>
      </c>
      <c r="G279" s="58">
        <f>ROUND(E279*F279,5)</f>
        <v>69355</v>
      </c>
    </row>
    <row r="280" spans="1:7" ht="15">
      <c r="A280" s="8" t="s">
        <v>0</v>
      </c>
      <c r="B280" s="9" t="s">
        <v>0</v>
      </c>
      <c r="C280" s="9" t="s">
        <v>0</v>
      </c>
      <c r="D280" s="9" t="s">
        <v>0</v>
      </c>
      <c r="E280" s="56"/>
      <c r="F280" s="57"/>
      <c r="G280" s="58"/>
    </row>
    <row r="281" spans="1:7" ht="15">
      <c r="A281" s="8" t="s">
        <v>140</v>
      </c>
      <c r="B281" s="9" t="s">
        <v>212</v>
      </c>
      <c r="C281" s="9" t="s">
        <v>213</v>
      </c>
      <c r="D281" s="9" t="s">
        <v>24</v>
      </c>
      <c r="E281" s="56"/>
      <c r="F281" s="57"/>
      <c r="G281" s="58"/>
    </row>
    <row r="282" spans="1:7" ht="15">
      <c r="A282" s="8" t="s">
        <v>0</v>
      </c>
      <c r="B282" s="9" t="s">
        <v>0</v>
      </c>
      <c r="C282" s="9" t="s">
        <v>214</v>
      </c>
      <c r="D282" s="9" t="s">
        <v>0</v>
      </c>
      <c r="E282" s="56"/>
      <c r="F282" s="57"/>
      <c r="G282" s="58"/>
    </row>
    <row r="283" spans="1:7" ht="15.75">
      <c r="A283" s="8" t="s">
        <v>0</v>
      </c>
      <c r="B283" s="9" t="s">
        <v>0</v>
      </c>
      <c r="C283" s="9" t="s">
        <v>390</v>
      </c>
      <c r="D283" s="9" t="s">
        <v>0</v>
      </c>
      <c r="E283" s="56"/>
      <c r="F283" s="57"/>
      <c r="G283" s="59">
        <f>ROUND(SUM(G284:G288),5)</f>
        <v>967065.00444</v>
      </c>
    </row>
    <row r="284" spans="1:7" ht="15">
      <c r="A284" s="8" t="s">
        <v>0</v>
      </c>
      <c r="B284" s="9" t="s">
        <v>0</v>
      </c>
      <c r="C284" s="9" t="s">
        <v>122</v>
      </c>
      <c r="D284" s="9" t="s">
        <v>7</v>
      </c>
      <c r="E284" s="56">
        <f>265.475</f>
        <v>265.475</v>
      </c>
      <c r="F284" s="57">
        <f>ROUND('Gia VL'!Q39/1000,5)</f>
        <v>1677.273</v>
      </c>
      <c r="G284" s="58">
        <f>ROUND(E284*F284,5)</f>
        <v>445274.04968</v>
      </c>
    </row>
    <row r="285" spans="1:7" ht="15">
      <c r="A285" s="8" t="s">
        <v>0</v>
      </c>
      <c r="B285" s="9" t="s">
        <v>0</v>
      </c>
      <c r="C285" s="9" t="s">
        <v>44</v>
      </c>
      <c r="D285" s="9" t="s">
        <v>9</v>
      </c>
      <c r="E285" s="56">
        <f>0.5412</f>
        <v>0.5412</v>
      </c>
      <c r="F285" s="57">
        <f>'Gia VL'!Q15</f>
        <v>363160.7</v>
      </c>
      <c r="G285" s="58">
        <f>ROUND(E285*F285,5)</f>
        <v>196542.57084</v>
      </c>
    </row>
    <row r="286" spans="1:7" ht="15">
      <c r="A286" s="8" t="s">
        <v>0</v>
      </c>
      <c r="B286" s="9" t="s">
        <v>0</v>
      </c>
      <c r="C286" s="9" t="s">
        <v>199</v>
      </c>
      <c r="D286" s="9" t="s">
        <v>9</v>
      </c>
      <c r="E286" s="56">
        <f>0.892775</f>
        <v>0.892775</v>
      </c>
      <c r="F286" s="57">
        <f>'Gia VL'!Q42</f>
        <v>351581.3</v>
      </c>
      <c r="G286" s="58">
        <f>ROUND(E286*F286,5)</f>
        <v>313882.99511</v>
      </c>
    </row>
    <row r="287" spans="1:7" ht="15">
      <c r="A287" s="8" t="s">
        <v>0</v>
      </c>
      <c r="B287" s="9" t="s">
        <v>0</v>
      </c>
      <c r="C287" s="9" t="s">
        <v>10</v>
      </c>
      <c r="D287" s="9" t="s">
        <v>9</v>
      </c>
      <c r="E287" s="56">
        <f>0.187575</f>
        <v>0.187575</v>
      </c>
      <c r="F287" s="57">
        <f>'Gia VL'!Q26</f>
        <v>9545.45</v>
      </c>
      <c r="G287" s="58">
        <f>ROUND(E287*F287,5)</f>
        <v>1790.48778</v>
      </c>
    </row>
    <row r="288" spans="1:7" ht="15">
      <c r="A288" s="8" t="s">
        <v>0</v>
      </c>
      <c r="B288" s="9" t="s">
        <v>0</v>
      </c>
      <c r="C288" s="9" t="s">
        <v>389</v>
      </c>
      <c r="D288" s="9" t="s">
        <v>388</v>
      </c>
      <c r="E288" s="56">
        <f>1</f>
        <v>1</v>
      </c>
      <c r="F288" s="57"/>
      <c r="G288" s="58">
        <f>ROUND(SUM(G284:G287)*E288/100,5)</f>
        <v>9574.90103</v>
      </c>
    </row>
    <row r="289" spans="1:7" ht="15.75">
      <c r="A289" s="8" t="s">
        <v>0</v>
      </c>
      <c r="B289" s="9" t="s">
        <v>0</v>
      </c>
      <c r="C289" s="9" t="s">
        <v>387</v>
      </c>
      <c r="D289" s="9" t="s">
        <v>0</v>
      </c>
      <c r="E289" s="56"/>
      <c r="F289" s="57"/>
      <c r="G289" s="59">
        <f>ROUND(SUM(G290:G290),5)</f>
        <v>615782.901</v>
      </c>
    </row>
    <row r="290" spans="1:7" ht="15">
      <c r="A290" s="8" t="s">
        <v>0</v>
      </c>
      <c r="B290" s="9" t="s">
        <v>0</v>
      </c>
      <c r="C290" s="9" t="s">
        <v>46</v>
      </c>
      <c r="D290" s="9" t="s">
        <v>12</v>
      </c>
      <c r="E290" s="56">
        <f>2.67</f>
        <v>2.67</v>
      </c>
      <c r="F290" s="57">
        <f>'Gia NC,CM'!P9</f>
        <v>230630.3</v>
      </c>
      <c r="G290" s="58">
        <f>ROUND(E290*F290,5)</f>
        <v>615782.901</v>
      </c>
    </row>
    <row r="291" spans="1:7" ht="15.75">
      <c r="A291" s="8" t="s">
        <v>0</v>
      </c>
      <c r="B291" s="9" t="s">
        <v>0</v>
      </c>
      <c r="C291" s="9" t="s">
        <v>386</v>
      </c>
      <c r="D291" s="9" t="s">
        <v>0</v>
      </c>
      <c r="E291" s="56"/>
      <c r="F291" s="57"/>
      <c r="G291" s="59">
        <f>ROUND(SUM(G292:G296),5)</f>
        <v>79769.1195</v>
      </c>
    </row>
    <row r="292" spans="1:7" ht="15">
      <c r="A292" s="8" t="s">
        <v>0</v>
      </c>
      <c r="B292" s="9" t="s">
        <v>0</v>
      </c>
      <c r="C292" s="9" t="s">
        <v>47</v>
      </c>
      <c r="D292" s="9" t="s">
        <v>14</v>
      </c>
      <c r="E292" s="56">
        <f>0.095</f>
        <v>0.095</v>
      </c>
      <c r="F292" s="57">
        <f>'Gia NC,CM'!P16</f>
        <v>318885.3</v>
      </c>
      <c r="G292" s="58">
        <f>ROUND(E292*F292,5)</f>
        <v>30294.1035</v>
      </c>
    </row>
    <row r="293" spans="1:7" ht="15">
      <c r="A293" s="8" t="s">
        <v>0</v>
      </c>
      <c r="B293" s="9" t="s">
        <v>0</v>
      </c>
      <c r="C293" s="9" t="s">
        <v>215</v>
      </c>
      <c r="D293" s="9" t="s">
        <v>14</v>
      </c>
      <c r="E293" s="56">
        <f>0.18</f>
        <v>0.18</v>
      </c>
      <c r="F293" s="57">
        <f>'Gia NC,CM'!P20</f>
        <v>274861.2</v>
      </c>
      <c r="G293" s="58">
        <f>ROUND(E293*F293,5)</f>
        <v>49475.016</v>
      </c>
    </row>
    <row r="294" spans="1:7" ht="15">
      <c r="A294" s="8" t="s">
        <v>0</v>
      </c>
      <c r="B294" s="9" t="s">
        <v>0</v>
      </c>
      <c r="C294" s="9" t="s">
        <v>0</v>
      </c>
      <c r="D294" s="9" t="s">
        <v>0</v>
      </c>
      <c r="E294" s="56"/>
      <c r="F294" s="57"/>
      <c r="G294" s="58"/>
    </row>
    <row r="295" spans="1:7" ht="15">
      <c r="A295" s="8" t="s">
        <v>141</v>
      </c>
      <c r="B295" s="9" t="s">
        <v>220</v>
      </c>
      <c r="C295" s="9" t="s">
        <v>221</v>
      </c>
      <c r="D295" s="9" t="s">
        <v>5</v>
      </c>
      <c r="E295" s="56"/>
      <c r="F295" s="57"/>
      <c r="G295" s="58"/>
    </row>
    <row r="296" spans="1:7" ht="15">
      <c r="A296" s="8" t="s">
        <v>0</v>
      </c>
      <c r="B296" s="9" t="s">
        <v>0</v>
      </c>
      <c r="C296" s="9" t="s">
        <v>222</v>
      </c>
      <c r="D296" s="9" t="s">
        <v>0</v>
      </c>
      <c r="E296" s="56"/>
      <c r="F296" s="57"/>
      <c r="G296" s="58"/>
    </row>
    <row r="297" spans="1:7" ht="15.75">
      <c r="A297" s="8" t="s">
        <v>0</v>
      </c>
      <c r="B297" s="9" t="s">
        <v>0</v>
      </c>
      <c r="C297" s="9" t="s">
        <v>390</v>
      </c>
      <c r="D297" s="9" t="s">
        <v>0</v>
      </c>
      <c r="E297" s="56"/>
      <c r="F297" s="57"/>
      <c r="G297" s="59">
        <f>ROUND(SUM(G298:G301),5)</f>
        <v>21092.23052</v>
      </c>
    </row>
    <row r="298" spans="1:7" ht="15">
      <c r="A298" s="8" t="s">
        <v>0</v>
      </c>
      <c r="B298" s="9" t="s">
        <v>0</v>
      </c>
      <c r="C298" s="9" t="s">
        <v>6</v>
      </c>
      <c r="D298" s="9" t="s">
        <v>7</v>
      </c>
      <c r="E298" s="56">
        <f>6.6</f>
        <v>6.6</v>
      </c>
      <c r="F298" s="57">
        <f>ROUND('Gia VL'!Q37/1000,5)</f>
        <v>1677.273</v>
      </c>
      <c r="G298" s="58">
        <f>ROUND(E298*F298,5)</f>
        <v>11070.0018</v>
      </c>
    </row>
    <row r="299" spans="1:7" ht="15">
      <c r="A299" s="8" t="s">
        <v>0</v>
      </c>
      <c r="B299" s="9" t="s">
        <v>0</v>
      </c>
      <c r="C299" s="9" t="s">
        <v>8</v>
      </c>
      <c r="D299" s="9" t="s">
        <v>9</v>
      </c>
      <c r="E299" s="56">
        <f>0.02975</f>
        <v>0.02975</v>
      </c>
      <c r="F299" s="57">
        <f>'Gia VL'!Q12</f>
        <v>317705.7</v>
      </c>
      <c r="G299" s="58">
        <f>ROUND(E299*F299,5)</f>
        <v>9451.74458</v>
      </c>
    </row>
    <row r="300" spans="1:7" ht="15">
      <c r="A300" s="8" t="s">
        <v>0</v>
      </c>
      <c r="B300" s="9" t="s">
        <v>0</v>
      </c>
      <c r="C300" s="9" t="s">
        <v>10</v>
      </c>
      <c r="D300" s="9" t="s">
        <v>9</v>
      </c>
      <c r="E300" s="56">
        <f>0.006875</f>
        <v>0.006875</v>
      </c>
      <c r="F300" s="57">
        <f>'Gia VL'!Q26</f>
        <v>9545.45</v>
      </c>
      <c r="G300" s="58">
        <f>ROUND(E300*F300,5)</f>
        <v>65.62497</v>
      </c>
    </row>
    <row r="301" spans="1:7" ht="15">
      <c r="A301" s="8" t="s">
        <v>0</v>
      </c>
      <c r="B301" s="9" t="s">
        <v>0</v>
      </c>
      <c r="C301" s="9" t="s">
        <v>122</v>
      </c>
      <c r="D301" s="9" t="s">
        <v>7</v>
      </c>
      <c r="E301" s="56">
        <f>0.301</f>
        <v>0.301</v>
      </c>
      <c r="F301" s="57">
        <f>ROUND('Gia VL'!Q39/1000,5)</f>
        <v>1677.273</v>
      </c>
      <c r="G301" s="58">
        <f>ROUND(E301*F301,5)</f>
        <v>504.85917</v>
      </c>
    </row>
    <row r="302" spans="1:7" ht="15.75">
      <c r="A302" s="8" t="s">
        <v>0</v>
      </c>
      <c r="B302" s="9" t="s">
        <v>0</v>
      </c>
      <c r="C302" s="9" t="s">
        <v>387</v>
      </c>
      <c r="D302" s="9" t="s">
        <v>0</v>
      </c>
      <c r="E302" s="56"/>
      <c r="F302" s="57"/>
      <c r="G302" s="59">
        <f>ROUND(SUM(G303:G303),5)</f>
        <v>24913.0427</v>
      </c>
    </row>
    <row r="303" spans="1:7" ht="15">
      <c r="A303" s="8" t="s">
        <v>0</v>
      </c>
      <c r="B303" s="9" t="s">
        <v>0</v>
      </c>
      <c r="C303" s="9" t="s">
        <v>11</v>
      </c>
      <c r="D303" s="9" t="s">
        <v>12</v>
      </c>
      <c r="E303" s="56">
        <f>0.091</f>
        <v>0.091</v>
      </c>
      <c r="F303" s="57">
        <f>'Gia NC,CM'!P12</f>
        <v>273769.7</v>
      </c>
      <c r="G303" s="58">
        <f>ROUND(E303*F303,5)</f>
        <v>24913.0427</v>
      </c>
    </row>
    <row r="304" spans="1:7" ht="15.75">
      <c r="A304" s="8" t="s">
        <v>0</v>
      </c>
      <c r="B304" s="9" t="s">
        <v>0</v>
      </c>
      <c r="C304" s="9" t="s">
        <v>386</v>
      </c>
      <c r="D304" s="9" t="s">
        <v>0</v>
      </c>
      <c r="E304" s="56"/>
      <c r="F304" s="57"/>
      <c r="G304" s="59">
        <f>ROUND(SUM(G305:G308),5)</f>
        <v>1171.7944</v>
      </c>
    </row>
    <row r="305" spans="1:7" ht="15">
      <c r="A305" s="8" t="s">
        <v>0</v>
      </c>
      <c r="B305" s="9" t="s">
        <v>0</v>
      </c>
      <c r="C305" s="9" t="s">
        <v>13</v>
      </c>
      <c r="D305" s="9" t="s">
        <v>14</v>
      </c>
      <c r="E305" s="56">
        <f>0.004</f>
        <v>0.004</v>
      </c>
      <c r="F305" s="57">
        <f>'Gia NC,CM'!P15</f>
        <v>292948.6</v>
      </c>
      <c r="G305" s="58">
        <f>ROUND(E305*F305,5)</f>
        <v>1171.7944</v>
      </c>
    </row>
    <row r="306" spans="1:7" ht="15">
      <c r="A306" s="8" t="s">
        <v>0</v>
      </c>
      <c r="B306" s="9" t="s">
        <v>0</v>
      </c>
      <c r="C306" s="9" t="s">
        <v>0</v>
      </c>
      <c r="D306" s="9" t="s">
        <v>0</v>
      </c>
      <c r="E306" s="56"/>
      <c r="F306" s="57"/>
      <c r="G306" s="58"/>
    </row>
    <row r="307" spans="1:7" ht="15">
      <c r="A307" s="8" t="s">
        <v>142</v>
      </c>
      <c r="B307" s="9" t="s">
        <v>224</v>
      </c>
      <c r="C307" s="9" t="s">
        <v>225</v>
      </c>
      <c r="D307" s="9" t="s">
        <v>5</v>
      </c>
      <c r="E307" s="56"/>
      <c r="F307" s="57"/>
      <c r="G307" s="58"/>
    </row>
    <row r="308" spans="1:7" ht="15">
      <c r="A308" s="8" t="s">
        <v>0</v>
      </c>
      <c r="B308" s="9" t="s">
        <v>0</v>
      </c>
      <c r="C308" s="9" t="s">
        <v>226</v>
      </c>
      <c r="D308" s="9" t="s">
        <v>0</v>
      </c>
      <c r="E308" s="56"/>
      <c r="F308" s="57"/>
      <c r="G308" s="58"/>
    </row>
    <row r="309" spans="1:7" ht="15.75">
      <c r="A309" s="8" t="s">
        <v>0</v>
      </c>
      <c r="B309" s="9" t="s">
        <v>0</v>
      </c>
      <c r="C309" s="9" t="s">
        <v>390</v>
      </c>
      <c r="D309" s="9" t="s">
        <v>0</v>
      </c>
      <c r="E309" s="56"/>
      <c r="F309" s="57"/>
      <c r="G309" s="59">
        <f>ROUND(SUM(G310:G314),5)</f>
        <v>66356.02441</v>
      </c>
    </row>
    <row r="310" spans="1:7" ht="15">
      <c r="A310" s="8" t="s">
        <v>0</v>
      </c>
      <c r="B310" s="9" t="s">
        <v>0</v>
      </c>
      <c r="C310" s="9" t="s">
        <v>34</v>
      </c>
      <c r="D310" s="9" t="s">
        <v>9</v>
      </c>
      <c r="E310" s="56">
        <f>0.00794</f>
        <v>0.00794</v>
      </c>
      <c r="F310" s="57">
        <f>'Gia VL'!Q24</f>
        <v>4090909.09</v>
      </c>
      <c r="G310" s="58">
        <f>ROUND(E310*F310,5)</f>
        <v>32481.81817</v>
      </c>
    </row>
    <row r="311" spans="1:7" ht="15">
      <c r="A311" s="8" t="s">
        <v>0</v>
      </c>
      <c r="B311" s="9" t="s">
        <v>0</v>
      </c>
      <c r="C311" s="9" t="s">
        <v>35</v>
      </c>
      <c r="D311" s="9" t="s">
        <v>9</v>
      </c>
      <c r="E311" s="56">
        <f>0.00112</f>
        <v>0.00112</v>
      </c>
      <c r="F311" s="57">
        <f>'Gia VL'!Q25</f>
        <v>4090909.09</v>
      </c>
      <c r="G311" s="58">
        <f>ROUND(E311*F311,5)</f>
        <v>4581.81818</v>
      </c>
    </row>
    <row r="312" spans="1:7" ht="15">
      <c r="A312" s="8" t="s">
        <v>0</v>
      </c>
      <c r="B312" s="9" t="s">
        <v>0</v>
      </c>
      <c r="C312" s="9" t="s">
        <v>36</v>
      </c>
      <c r="D312" s="9" t="s">
        <v>9</v>
      </c>
      <c r="E312" s="56">
        <f>0.00668</f>
        <v>0.00668</v>
      </c>
      <c r="F312" s="57">
        <f>'Gia VL'!Q23</f>
        <v>4090909.09</v>
      </c>
      <c r="G312" s="58">
        <f>ROUND(E312*F312,5)</f>
        <v>27327.27272</v>
      </c>
    </row>
    <row r="313" spans="1:7" ht="15">
      <c r="A313" s="8" t="s">
        <v>0</v>
      </c>
      <c r="B313" s="9" t="s">
        <v>0</v>
      </c>
      <c r="C313" s="9" t="s">
        <v>37</v>
      </c>
      <c r="D313" s="9" t="s">
        <v>7</v>
      </c>
      <c r="E313" s="56">
        <f>0.0805</f>
        <v>0.0805</v>
      </c>
      <c r="F313" s="57">
        <f>ROUND('Gia VL'!Q41/1000,5)</f>
        <v>16250</v>
      </c>
      <c r="G313" s="58">
        <f>ROUND(E313*F313,5)</f>
        <v>1308.125</v>
      </c>
    </row>
    <row r="314" spans="1:7" ht="15">
      <c r="A314" s="8" t="s">
        <v>0</v>
      </c>
      <c r="B314" s="9" t="s">
        <v>0</v>
      </c>
      <c r="C314" s="9" t="s">
        <v>389</v>
      </c>
      <c r="D314" s="9" t="s">
        <v>388</v>
      </c>
      <c r="E314" s="56">
        <f>1</f>
        <v>1</v>
      </c>
      <c r="F314" s="57"/>
      <c r="G314" s="58">
        <f>ROUND(SUM(G310:G313)*E314/100,5)</f>
        <v>656.99034</v>
      </c>
    </row>
    <row r="315" spans="1:7" ht="15.75">
      <c r="A315" s="8" t="s">
        <v>0</v>
      </c>
      <c r="B315" s="9" t="s">
        <v>0</v>
      </c>
      <c r="C315" s="9" t="s">
        <v>387</v>
      </c>
      <c r="D315" s="9" t="s">
        <v>0</v>
      </c>
      <c r="E315" s="56"/>
      <c r="F315" s="57"/>
      <c r="G315" s="59">
        <f>ROUND(SUM(G316:G319),5)</f>
        <v>71801.34</v>
      </c>
    </row>
    <row r="316" spans="1:7" ht="15">
      <c r="A316" s="8" t="s">
        <v>0</v>
      </c>
      <c r="B316" s="9" t="s">
        <v>0</v>
      </c>
      <c r="C316" s="9" t="s">
        <v>38</v>
      </c>
      <c r="D316" s="9" t="s">
        <v>12</v>
      </c>
      <c r="E316" s="56">
        <f>0.2847</f>
        <v>0.2847</v>
      </c>
      <c r="F316" s="57">
        <f>'Gia NC,CM'!P11</f>
        <v>252200</v>
      </c>
      <c r="G316" s="58">
        <f>ROUND(E316*F316,5)</f>
        <v>71801.34</v>
      </c>
    </row>
    <row r="317" spans="1:7" ht="15">
      <c r="A317" s="8" t="s">
        <v>0</v>
      </c>
      <c r="B317" s="9" t="s">
        <v>0</v>
      </c>
      <c r="C317" s="9" t="s">
        <v>0</v>
      </c>
      <c r="D317" s="9" t="s">
        <v>0</v>
      </c>
      <c r="E317" s="56"/>
      <c r="F317" s="57"/>
      <c r="G317" s="58"/>
    </row>
    <row r="318" spans="1:7" ht="15">
      <c r="A318" s="8" t="s">
        <v>143</v>
      </c>
      <c r="B318" s="9" t="s">
        <v>228</v>
      </c>
      <c r="C318" s="9" t="s">
        <v>229</v>
      </c>
      <c r="D318" s="9" t="s">
        <v>230</v>
      </c>
      <c r="E318" s="56"/>
      <c r="F318" s="57"/>
      <c r="G318" s="58"/>
    </row>
    <row r="319" spans="1:7" ht="15">
      <c r="A319" s="8" t="s">
        <v>0</v>
      </c>
      <c r="B319" s="9" t="s">
        <v>0</v>
      </c>
      <c r="C319" s="9" t="s">
        <v>231</v>
      </c>
      <c r="D319" s="9" t="s">
        <v>0</v>
      </c>
      <c r="E319" s="56"/>
      <c r="F319" s="57"/>
      <c r="G319" s="58"/>
    </row>
    <row r="320" spans="1:7" ht="15.75">
      <c r="A320" s="8" t="s">
        <v>0</v>
      </c>
      <c r="B320" s="9" t="s">
        <v>0</v>
      </c>
      <c r="C320" s="9" t="s">
        <v>390</v>
      </c>
      <c r="D320" s="9" t="s">
        <v>0</v>
      </c>
      <c r="E320" s="56"/>
      <c r="F320" s="57"/>
      <c r="G320" s="59">
        <f>ROUND(SUM(G321:G325),5)</f>
        <v>952889.48022</v>
      </c>
    </row>
    <row r="321" spans="1:7" ht="15">
      <c r="A321" s="8" t="s">
        <v>0</v>
      </c>
      <c r="B321" s="9" t="s">
        <v>0</v>
      </c>
      <c r="C321" s="9" t="s">
        <v>122</v>
      </c>
      <c r="D321" s="9" t="s">
        <v>7</v>
      </c>
      <c r="E321" s="56">
        <f>262.885</f>
        <v>262.885</v>
      </c>
      <c r="F321" s="57">
        <f>ROUND('Gia VL'!Q39/1000,5)</f>
        <v>1677.273</v>
      </c>
      <c r="G321" s="58">
        <f>ROUND(E321*F321,5)</f>
        <v>440929.91261</v>
      </c>
    </row>
    <row r="322" spans="1:7" ht="15">
      <c r="A322" s="8" t="s">
        <v>0</v>
      </c>
      <c r="B322" s="9" t="s">
        <v>0</v>
      </c>
      <c r="C322" s="9" t="s">
        <v>44</v>
      </c>
      <c r="D322" s="9" t="s">
        <v>9</v>
      </c>
      <c r="E322" s="56">
        <f>0.53592</f>
        <v>0.53592</v>
      </c>
      <c r="F322" s="57">
        <f>'Gia VL'!Q15</f>
        <v>363160.7</v>
      </c>
      <c r="G322" s="58">
        <f>ROUND(E322*F322,5)</f>
        <v>194625.08234</v>
      </c>
    </row>
    <row r="323" spans="1:7" ht="15">
      <c r="A323" s="8" t="s">
        <v>0</v>
      </c>
      <c r="B323" s="9" t="s">
        <v>0</v>
      </c>
      <c r="C323" s="9" t="s">
        <v>199</v>
      </c>
      <c r="D323" s="9" t="s">
        <v>9</v>
      </c>
      <c r="E323" s="56">
        <f>0.884065</f>
        <v>0.884065</v>
      </c>
      <c r="F323" s="57">
        <f>'Gia VL'!Q42</f>
        <v>351581.3</v>
      </c>
      <c r="G323" s="58">
        <f>ROUND(E323*F323,5)</f>
        <v>310820.72198</v>
      </c>
    </row>
    <row r="324" spans="1:7" ht="15">
      <c r="A324" s="8" t="s">
        <v>0</v>
      </c>
      <c r="B324" s="9" t="s">
        <v>0</v>
      </c>
      <c r="C324" s="9" t="s">
        <v>10</v>
      </c>
      <c r="D324" s="9" t="s">
        <v>9</v>
      </c>
      <c r="E324" s="56">
        <f>0.185745</f>
        <v>0.185745</v>
      </c>
      <c r="F324" s="57">
        <f>'Gia VL'!Q26</f>
        <v>9545.45</v>
      </c>
      <c r="G324" s="58">
        <f>ROUND(E324*F324,5)</f>
        <v>1773.01961</v>
      </c>
    </row>
    <row r="325" spans="1:7" ht="15">
      <c r="A325" s="8" t="s">
        <v>0</v>
      </c>
      <c r="B325" s="9" t="s">
        <v>0</v>
      </c>
      <c r="C325" s="9" t="s">
        <v>389</v>
      </c>
      <c r="D325" s="9" t="s">
        <v>388</v>
      </c>
      <c r="E325" s="56">
        <f>0.5</f>
        <v>0.5</v>
      </c>
      <c r="F325" s="57"/>
      <c r="G325" s="58">
        <f>ROUND(SUM(G321:G324)*E325/100,5)</f>
        <v>4740.74368</v>
      </c>
    </row>
    <row r="326" spans="1:7" ht="15.75">
      <c r="A326" s="8" t="s">
        <v>0</v>
      </c>
      <c r="B326" s="9" t="s">
        <v>0</v>
      </c>
      <c r="C326" s="9" t="s">
        <v>387</v>
      </c>
      <c r="D326" s="9" t="s">
        <v>0</v>
      </c>
      <c r="E326" s="56"/>
      <c r="F326" s="57"/>
      <c r="G326" s="59">
        <f>ROUND(SUM(G327:G327),5)</f>
        <v>445116.479</v>
      </c>
    </row>
    <row r="327" spans="1:7" ht="15">
      <c r="A327" s="8" t="s">
        <v>0</v>
      </c>
      <c r="B327" s="9" t="s">
        <v>0</v>
      </c>
      <c r="C327" s="9" t="s">
        <v>46</v>
      </c>
      <c r="D327" s="9" t="s">
        <v>12</v>
      </c>
      <c r="E327" s="56">
        <f>1.93</f>
        <v>1.93</v>
      </c>
      <c r="F327" s="57">
        <f>'Gia NC,CM'!P9</f>
        <v>230630.3</v>
      </c>
      <c r="G327" s="58">
        <f>ROUND(E327*F327,5)</f>
        <v>445116.479</v>
      </c>
    </row>
    <row r="328" spans="1:7" ht="15.75">
      <c r="A328" s="8" t="s">
        <v>0</v>
      </c>
      <c r="B328" s="9" t="s">
        <v>0</v>
      </c>
      <c r="C328" s="9" t="s">
        <v>386</v>
      </c>
      <c r="D328" s="9" t="s">
        <v>0</v>
      </c>
      <c r="E328" s="56"/>
      <c r="F328" s="57"/>
      <c r="G328" s="59">
        <f>ROUND(SUM(G329:G332),5)</f>
        <v>30294.1035</v>
      </c>
    </row>
    <row r="329" spans="1:7" ht="15">
      <c r="A329" s="8" t="s">
        <v>0</v>
      </c>
      <c r="B329" s="9" t="s">
        <v>0</v>
      </c>
      <c r="C329" s="9" t="s">
        <v>47</v>
      </c>
      <c r="D329" s="9" t="s">
        <v>14</v>
      </c>
      <c r="E329" s="56">
        <f>0.095</f>
        <v>0.095</v>
      </c>
      <c r="F329" s="57">
        <f>'Gia NC,CM'!P16</f>
        <v>318885.3</v>
      </c>
      <c r="G329" s="58">
        <f>ROUND(E329*F329,5)</f>
        <v>30294.1035</v>
      </c>
    </row>
    <row r="330" spans="1:7" ht="15">
      <c r="A330" s="8" t="s">
        <v>0</v>
      </c>
      <c r="B330" s="9" t="s">
        <v>0</v>
      </c>
      <c r="C330" s="9" t="s">
        <v>0</v>
      </c>
      <c r="D330" s="9" t="s">
        <v>0</v>
      </c>
      <c r="E330" s="56"/>
      <c r="F330" s="57"/>
      <c r="G330" s="58"/>
    </row>
    <row r="331" spans="1:7" ht="15">
      <c r="A331" s="8" t="s">
        <v>144</v>
      </c>
      <c r="B331" s="9" t="s">
        <v>233</v>
      </c>
      <c r="C331" s="9" t="s">
        <v>234</v>
      </c>
      <c r="D331" s="9" t="s">
        <v>235</v>
      </c>
      <c r="E331" s="56"/>
      <c r="F331" s="57"/>
      <c r="G331" s="58"/>
    </row>
    <row r="332" spans="1:7" ht="15">
      <c r="A332" s="8" t="s">
        <v>0</v>
      </c>
      <c r="B332" s="9" t="s">
        <v>0</v>
      </c>
      <c r="C332" s="9" t="s">
        <v>236</v>
      </c>
      <c r="D332" s="9" t="s">
        <v>0</v>
      </c>
      <c r="E332" s="56"/>
      <c r="F332" s="57"/>
      <c r="G332" s="58"/>
    </row>
    <row r="333" spans="1:7" ht="15.75">
      <c r="A333" s="8" t="s">
        <v>0</v>
      </c>
      <c r="B333" s="9" t="s">
        <v>0</v>
      </c>
      <c r="C333" s="9" t="s">
        <v>387</v>
      </c>
      <c r="D333" s="9" t="s">
        <v>0</v>
      </c>
      <c r="E333" s="56"/>
      <c r="F333" s="57"/>
      <c r="G333" s="59">
        <f>ROUND(SUM(G334:G337),5)</f>
        <v>29981.939</v>
      </c>
    </row>
    <row r="334" spans="1:7" ht="15">
      <c r="A334" s="8" t="s">
        <v>0</v>
      </c>
      <c r="B334" s="9" t="s">
        <v>0</v>
      </c>
      <c r="C334" s="9" t="s">
        <v>46</v>
      </c>
      <c r="D334" s="9" t="s">
        <v>12</v>
      </c>
      <c r="E334" s="56">
        <f>0.13</f>
        <v>0.13</v>
      </c>
      <c r="F334" s="57">
        <f>'Gia NC,CM'!P9</f>
        <v>230630.3</v>
      </c>
      <c r="G334" s="58">
        <f>ROUND(E334*F334,5)</f>
        <v>29981.939</v>
      </c>
    </row>
    <row r="335" spans="1:7" ht="15">
      <c r="A335" s="8" t="s">
        <v>0</v>
      </c>
      <c r="B335" s="9" t="s">
        <v>0</v>
      </c>
      <c r="C335" s="9" t="s">
        <v>0</v>
      </c>
      <c r="D335" s="9" t="s">
        <v>0</v>
      </c>
      <c r="E335" s="56"/>
      <c r="F335" s="57"/>
      <c r="G335" s="58"/>
    </row>
    <row r="336" spans="1:7" ht="15">
      <c r="A336" s="8" t="s">
        <v>145</v>
      </c>
      <c r="B336" s="9" t="s">
        <v>238</v>
      </c>
      <c r="C336" s="9" t="s">
        <v>239</v>
      </c>
      <c r="D336" s="9" t="s">
        <v>240</v>
      </c>
      <c r="E336" s="56"/>
      <c r="F336" s="57"/>
      <c r="G336" s="58"/>
    </row>
    <row r="337" spans="1:7" ht="15">
      <c r="A337" s="8" t="s">
        <v>0</v>
      </c>
      <c r="B337" s="9" t="s">
        <v>0</v>
      </c>
      <c r="C337" s="9" t="s">
        <v>241</v>
      </c>
      <c r="D337" s="9" t="s">
        <v>0</v>
      </c>
      <c r="E337" s="56"/>
      <c r="F337" s="57"/>
      <c r="G337" s="58"/>
    </row>
    <row r="338" spans="1:7" ht="15.75">
      <c r="A338" s="8" t="s">
        <v>0</v>
      </c>
      <c r="B338" s="9" t="s">
        <v>0</v>
      </c>
      <c r="C338" s="9" t="s">
        <v>387</v>
      </c>
      <c r="D338" s="9" t="s">
        <v>0</v>
      </c>
      <c r="E338" s="56"/>
      <c r="F338" s="57"/>
      <c r="G338" s="59">
        <f>ROUND(SUM(G339:G341),5)</f>
        <v>67753.352</v>
      </c>
    </row>
    <row r="339" spans="1:7" ht="15">
      <c r="A339" s="8" t="s">
        <v>0</v>
      </c>
      <c r="B339" s="9" t="s">
        <v>0</v>
      </c>
      <c r="C339" s="9" t="s">
        <v>25</v>
      </c>
      <c r="D339" s="9" t="s">
        <v>12</v>
      </c>
      <c r="E339" s="56">
        <f>0.31</f>
        <v>0.31</v>
      </c>
      <c r="F339" s="57">
        <f>'Gia NC,CM'!P8</f>
        <v>218559.2</v>
      </c>
      <c r="G339" s="58">
        <f>ROUND(E339*F339,5)</f>
        <v>67753.352</v>
      </c>
    </row>
    <row r="340" spans="1:7" ht="15">
      <c r="A340" s="8" t="s">
        <v>0</v>
      </c>
      <c r="B340" s="9" t="s">
        <v>0</v>
      </c>
      <c r="C340" s="9" t="s">
        <v>0</v>
      </c>
      <c r="D340" s="9" t="s">
        <v>0</v>
      </c>
      <c r="E340" s="56"/>
      <c r="F340" s="57"/>
      <c r="G340" s="58"/>
    </row>
    <row r="341" spans="1:7" ht="15">
      <c r="A341" s="8" t="s">
        <v>146</v>
      </c>
      <c r="B341" s="9" t="s">
        <v>243</v>
      </c>
      <c r="C341" s="9" t="s">
        <v>244</v>
      </c>
      <c r="D341" s="9" t="s">
        <v>24</v>
      </c>
      <c r="E341" s="56"/>
      <c r="F341" s="57"/>
      <c r="G341" s="58"/>
    </row>
    <row r="342" spans="1:7" ht="15.75">
      <c r="A342" s="8" t="s">
        <v>0</v>
      </c>
      <c r="B342" s="9" t="s">
        <v>0</v>
      </c>
      <c r="C342" s="9" t="s">
        <v>387</v>
      </c>
      <c r="D342" s="9" t="s">
        <v>0</v>
      </c>
      <c r="E342" s="56"/>
      <c r="F342" s="57"/>
      <c r="G342" s="59">
        <f>ROUND(SUM(G343:G345),5)</f>
        <v>19670.328</v>
      </c>
    </row>
    <row r="343" spans="1:7" ht="15">
      <c r="A343" s="8" t="s">
        <v>0</v>
      </c>
      <c r="B343" s="9" t="s">
        <v>0</v>
      </c>
      <c r="C343" s="9" t="s">
        <v>25</v>
      </c>
      <c r="D343" s="9" t="s">
        <v>12</v>
      </c>
      <c r="E343" s="56">
        <f>0.09</f>
        <v>0.09</v>
      </c>
      <c r="F343" s="57">
        <f>'Gia NC,CM'!P8</f>
        <v>218559.2</v>
      </c>
      <c r="G343" s="58">
        <f>ROUND(E343*F343,5)</f>
        <v>19670.328</v>
      </c>
    </row>
    <row r="344" spans="1:7" ht="15">
      <c r="A344" s="8" t="s">
        <v>0</v>
      </c>
      <c r="B344" s="9" t="s">
        <v>0</v>
      </c>
      <c r="C344" s="9" t="s">
        <v>0</v>
      </c>
      <c r="D344" s="9" t="s">
        <v>0</v>
      </c>
      <c r="E344" s="56"/>
      <c r="F344" s="57"/>
      <c r="G344" s="58"/>
    </row>
    <row r="345" spans="1:7" ht="15">
      <c r="A345" s="8" t="s">
        <v>147</v>
      </c>
      <c r="B345" s="9" t="s">
        <v>246</v>
      </c>
      <c r="C345" s="9" t="s">
        <v>247</v>
      </c>
      <c r="D345" s="9" t="s">
        <v>248</v>
      </c>
      <c r="E345" s="56"/>
      <c r="F345" s="57"/>
      <c r="G345" s="58"/>
    </row>
    <row r="346" spans="1:7" ht="15.75">
      <c r="A346" s="8" t="s">
        <v>0</v>
      </c>
      <c r="B346" s="9" t="s">
        <v>0</v>
      </c>
      <c r="C346" s="9" t="s">
        <v>386</v>
      </c>
      <c r="D346" s="9" t="s">
        <v>0</v>
      </c>
      <c r="E346" s="56"/>
      <c r="F346" s="57"/>
      <c r="G346" s="59">
        <f>ROUND(SUM(G347:G349),5)</f>
        <v>47773.4598</v>
      </c>
    </row>
    <row r="347" spans="1:7" ht="15">
      <c r="A347" s="8" t="s">
        <v>0</v>
      </c>
      <c r="B347" s="9" t="s">
        <v>0</v>
      </c>
      <c r="C347" s="9" t="s">
        <v>249</v>
      </c>
      <c r="D347" s="9" t="s">
        <v>14</v>
      </c>
      <c r="E347" s="56">
        <f>0.027</f>
        <v>0.027</v>
      </c>
      <c r="F347" s="57">
        <f>'Gia NC,CM'!P23</f>
        <v>1769387.4</v>
      </c>
      <c r="G347" s="58">
        <f>ROUND(E347*F347,5)</f>
        <v>47773.4598</v>
      </c>
    </row>
    <row r="348" spans="1:7" ht="15">
      <c r="A348" s="8" t="s">
        <v>0</v>
      </c>
      <c r="B348" s="9" t="s">
        <v>0</v>
      </c>
      <c r="C348" s="9" t="s">
        <v>0</v>
      </c>
      <c r="D348" s="9" t="s">
        <v>0</v>
      </c>
      <c r="E348" s="56"/>
      <c r="F348" s="57"/>
      <c r="G348" s="58"/>
    </row>
    <row r="349" spans="1:7" ht="15">
      <c r="A349" s="8" t="s">
        <v>150</v>
      </c>
      <c r="B349" s="9" t="s">
        <v>251</v>
      </c>
      <c r="C349" s="9" t="s">
        <v>252</v>
      </c>
      <c r="D349" s="9" t="s">
        <v>248</v>
      </c>
      <c r="E349" s="56"/>
      <c r="F349" s="57"/>
      <c r="G349" s="58"/>
    </row>
    <row r="350" spans="1:7" ht="15.75">
      <c r="A350" s="8" t="s">
        <v>0</v>
      </c>
      <c r="B350" s="9" t="s">
        <v>0</v>
      </c>
      <c r="C350" s="9" t="s">
        <v>386</v>
      </c>
      <c r="D350" s="9" t="s">
        <v>0</v>
      </c>
      <c r="E350" s="56"/>
      <c r="F350" s="57"/>
      <c r="G350" s="59">
        <f>ROUND(SUM(G351:G353),5)</f>
        <v>33618.3606</v>
      </c>
    </row>
    <row r="351" spans="1:7" ht="15">
      <c r="A351" s="8" t="s">
        <v>0</v>
      </c>
      <c r="B351" s="9" t="s">
        <v>0</v>
      </c>
      <c r="C351" s="9" t="s">
        <v>249</v>
      </c>
      <c r="D351" s="9" t="s">
        <v>14</v>
      </c>
      <c r="E351" s="56">
        <f>0.019</f>
        <v>0.019</v>
      </c>
      <c r="F351" s="57">
        <f>'Gia NC,CM'!P23</f>
        <v>1769387.4</v>
      </c>
      <c r="G351" s="58">
        <f>ROUND(E351*F351,5)</f>
        <v>33618.3606</v>
      </c>
    </row>
    <row r="352" spans="1:7" ht="15">
      <c r="A352" s="8" t="s">
        <v>0</v>
      </c>
      <c r="B352" s="9" t="s">
        <v>0</v>
      </c>
      <c r="C352" s="9" t="s">
        <v>0</v>
      </c>
      <c r="D352" s="9" t="s">
        <v>0</v>
      </c>
      <c r="E352" s="56"/>
      <c r="F352" s="57"/>
      <c r="G352" s="58"/>
    </row>
    <row r="353" spans="1:7" ht="15">
      <c r="A353" s="8" t="s">
        <v>156</v>
      </c>
      <c r="B353" s="9" t="s">
        <v>254</v>
      </c>
      <c r="C353" s="9" t="s">
        <v>255</v>
      </c>
      <c r="D353" s="9" t="s">
        <v>248</v>
      </c>
      <c r="E353" s="56"/>
      <c r="F353" s="57"/>
      <c r="G353" s="58"/>
    </row>
    <row r="354" spans="1:7" ht="15.75">
      <c r="A354" s="8" t="s">
        <v>0</v>
      </c>
      <c r="B354" s="9" t="s">
        <v>0</v>
      </c>
      <c r="C354" s="9" t="s">
        <v>386</v>
      </c>
      <c r="D354" s="9" t="s">
        <v>0</v>
      </c>
      <c r="E354" s="56"/>
      <c r="F354" s="57"/>
      <c r="G354" s="59">
        <f>ROUND(SUM(G355:G357),5)</f>
        <v>24771.4236</v>
      </c>
    </row>
    <row r="355" spans="1:7" ht="15">
      <c r="A355" s="8" t="s">
        <v>0</v>
      </c>
      <c r="B355" s="9" t="s">
        <v>0</v>
      </c>
      <c r="C355" s="9" t="s">
        <v>249</v>
      </c>
      <c r="D355" s="9" t="s">
        <v>14</v>
      </c>
      <c r="E355" s="56">
        <f>0.014</f>
        <v>0.014</v>
      </c>
      <c r="F355" s="57">
        <f>'Gia NC,CM'!P23</f>
        <v>1769387.4</v>
      </c>
      <c r="G355" s="58">
        <f>ROUND(E355*F355,5)</f>
        <v>24771.4236</v>
      </c>
    </row>
    <row r="356" spans="1:7" ht="15">
      <c r="A356" s="8" t="s">
        <v>0</v>
      </c>
      <c r="B356" s="9" t="s">
        <v>0</v>
      </c>
      <c r="C356" s="9" t="s">
        <v>0</v>
      </c>
      <c r="D356" s="9" t="s">
        <v>0</v>
      </c>
      <c r="E356" s="56"/>
      <c r="F356" s="57"/>
      <c r="G356" s="58"/>
    </row>
    <row r="357" spans="1:7" ht="15">
      <c r="A357" s="8" t="s">
        <v>159</v>
      </c>
      <c r="B357" s="9" t="s">
        <v>257</v>
      </c>
      <c r="C357" s="9" t="s">
        <v>258</v>
      </c>
      <c r="D357" s="9" t="s">
        <v>248</v>
      </c>
      <c r="E357" s="56"/>
      <c r="F357" s="57"/>
      <c r="G357" s="58"/>
    </row>
    <row r="358" spans="1:7" ht="15.75">
      <c r="A358" s="8" t="s">
        <v>0</v>
      </c>
      <c r="B358" s="9" t="s">
        <v>0</v>
      </c>
      <c r="C358" s="9" t="s">
        <v>386</v>
      </c>
      <c r="D358" s="9" t="s">
        <v>0</v>
      </c>
      <c r="E358" s="56"/>
      <c r="F358" s="57"/>
      <c r="G358" s="59">
        <f>ROUND(SUM(G359:G362),5)</f>
        <v>44155.8656</v>
      </c>
    </row>
    <row r="359" spans="1:7" ht="15">
      <c r="A359" s="8" t="s">
        <v>0</v>
      </c>
      <c r="B359" s="9" t="s">
        <v>0</v>
      </c>
      <c r="C359" s="9" t="s">
        <v>259</v>
      </c>
      <c r="D359" s="9" t="s">
        <v>14</v>
      </c>
      <c r="E359" s="56">
        <f>0.022</f>
        <v>0.022</v>
      </c>
      <c r="F359" s="57">
        <f>'Gia NC,CM'!P22</f>
        <v>2007084.8</v>
      </c>
      <c r="G359" s="58">
        <f>ROUND(E359*F359,5)</f>
        <v>44155.8656</v>
      </c>
    </row>
    <row r="360" spans="1:7" ht="15">
      <c r="A360" s="8" t="s">
        <v>0</v>
      </c>
      <c r="B360" s="9" t="s">
        <v>0</v>
      </c>
      <c r="C360" s="9" t="s">
        <v>0</v>
      </c>
      <c r="D360" s="9" t="s">
        <v>0</v>
      </c>
      <c r="E360" s="56"/>
      <c r="F360" s="57"/>
      <c r="G360" s="58"/>
    </row>
    <row r="361" spans="1:7" ht="15">
      <c r="A361" s="8" t="s">
        <v>163</v>
      </c>
      <c r="B361" s="9" t="s">
        <v>261</v>
      </c>
      <c r="C361" s="9" t="s">
        <v>262</v>
      </c>
      <c r="D361" s="9" t="s">
        <v>248</v>
      </c>
      <c r="E361" s="56"/>
      <c r="F361" s="57"/>
      <c r="G361" s="58"/>
    </row>
    <row r="362" spans="1:7" ht="15">
      <c r="A362" s="8" t="s">
        <v>0</v>
      </c>
      <c r="B362" s="9" t="s">
        <v>0</v>
      </c>
      <c r="C362" s="9" t="s">
        <v>263</v>
      </c>
      <c r="D362" s="9" t="s">
        <v>0</v>
      </c>
      <c r="E362" s="56"/>
      <c r="F362" s="57"/>
      <c r="G362" s="58"/>
    </row>
    <row r="363" spans="1:7" ht="15.75">
      <c r="A363" s="8" t="s">
        <v>0</v>
      </c>
      <c r="B363" s="9" t="s">
        <v>0</v>
      </c>
      <c r="C363" s="9" t="s">
        <v>386</v>
      </c>
      <c r="D363" s="9" t="s">
        <v>0</v>
      </c>
      <c r="E363" s="56"/>
      <c r="F363" s="57"/>
      <c r="G363" s="59">
        <f>ROUND(SUM(G364:G367),5)</f>
        <v>32113.3568</v>
      </c>
    </row>
    <row r="364" spans="1:7" ht="15">
      <c r="A364" s="8" t="s">
        <v>0</v>
      </c>
      <c r="B364" s="9" t="s">
        <v>0</v>
      </c>
      <c r="C364" s="9" t="s">
        <v>259</v>
      </c>
      <c r="D364" s="9" t="s">
        <v>14</v>
      </c>
      <c r="E364" s="56">
        <f>0.016</f>
        <v>0.016</v>
      </c>
      <c r="F364" s="57">
        <f>'Gia NC,CM'!P22</f>
        <v>2007084.8</v>
      </c>
      <c r="G364" s="58">
        <f>ROUND(E364*F364,5)</f>
        <v>32113.3568</v>
      </c>
    </row>
    <row r="365" spans="1:7" ht="15">
      <c r="A365" s="8" t="s">
        <v>0</v>
      </c>
      <c r="B365" s="9" t="s">
        <v>0</v>
      </c>
      <c r="C365" s="9" t="s">
        <v>0</v>
      </c>
      <c r="D365" s="9" t="s">
        <v>0</v>
      </c>
      <c r="E365" s="56"/>
      <c r="F365" s="57"/>
      <c r="G365" s="58"/>
    </row>
    <row r="366" spans="1:7" ht="15">
      <c r="A366" s="8" t="s">
        <v>166</v>
      </c>
      <c r="B366" s="9" t="s">
        <v>265</v>
      </c>
      <c r="C366" s="9" t="s">
        <v>266</v>
      </c>
      <c r="D366" s="9" t="s">
        <v>267</v>
      </c>
      <c r="E366" s="56"/>
      <c r="F366" s="57"/>
      <c r="G366" s="58"/>
    </row>
    <row r="367" spans="1:7" ht="15">
      <c r="A367" s="8" t="s">
        <v>0</v>
      </c>
      <c r="B367" s="9" t="s">
        <v>0</v>
      </c>
      <c r="C367" s="9" t="s">
        <v>268</v>
      </c>
      <c r="D367" s="9" t="s">
        <v>0</v>
      </c>
      <c r="E367" s="56"/>
      <c r="F367" s="57"/>
      <c r="G367" s="58"/>
    </row>
    <row r="368" spans="1:7" ht="15.75">
      <c r="A368" s="8" t="s">
        <v>0</v>
      </c>
      <c r="B368" s="9" t="s">
        <v>0</v>
      </c>
      <c r="C368" s="9" t="s">
        <v>386</v>
      </c>
      <c r="D368" s="9" t="s">
        <v>0</v>
      </c>
      <c r="E368" s="56"/>
      <c r="F368" s="57"/>
      <c r="G368" s="59">
        <f>ROUND(SUM(G369:G372),5)</f>
        <v>31019.9016</v>
      </c>
    </row>
    <row r="369" spans="1:7" ht="15">
      <c r="A369" s="8" t="s">
        <v>0</v>
      </c>
      <c r="B369" s="9" t="s">
        <v>0</v>
      </c>
      <c r="C369" s="9" t="s">
        <v>116</v>
      </c>
      <c r="D369" s="9" t="s">
        <v>14</v>
      </c>
      <c r="E369" s="56">
        <f>0.024</f>
        <v>0.024</v>
      </c>
      <c r="F369" s="57">
        <f>'Gia NC,CM'!P26</f>
        <v>1292495.9</v>
      </c>
      <c r="G369" s="58">
        <f>ROUND(E369*F369,5)</f>
        <v>31019.9016</v>
      </c>
    </row>
    <row r="370" spans="1:7" ht="15">
      <c r="A370" s="8" t="s">
        <v>0</v>
      </c>
      <c r="B370" s="9" t="s">
        <v>0</v>
      </c>
      <c r="C370" s="9" t="s">
        <v>0</v>
      </c>
      <c r="D370" s="9" t="s">
        <v>0</v>
      </c>
      <c r="E370" s="56"/>
      <c r="F370" s="57"/>
      <c r="G370" s="58"/>
    </row>
    <row r="371" spans="1:7" ht="15">
      <c r="A371" s="8" t="s">
        <v>167</v>
      </c>
      <c r="B371" s="9" t="s">
        <v>270</v>
      </c>
      <c r="C371" s="9" t="s">
        <v>271</v>
      </c>
      <c r="D371" s="9" t="s">
        <v>267</v>
      </c>
      <c r="E371" s="56"/>
      <c r="F371" s="57"/>
      <c r="G371" s="58"/>
    </row>
    <row r="372" spans="1:7" ht="15">
      <c r="A372" s="8" t="s">
        <v>0</v>
      </c>
      <c r="B372" s="9" t="s">
        <v>0</v>
      </c>
      <c r="C372" s="9" t="s">
        <v>272</v>
      </c>
      <c r="D372" s="9" t="s">
        <v>0</v>
      </c>
      <c r="E372" s="56"/>
      <c r="F372" s="57"/>
      <c r="G372" s="58"/>
    </row>
    <row r="373" spans="1:7" ht="15.75">
      <c r="A373" s="8" t="s">
        <v>0</v>
      </c>
      <c r="B373" s="9" t="s">
        <v>0</v>
      </c>
      <c r="C373" s="9" t="s">
        <v>386</v>
      </c>
      <c r="D373" s="9" t="s">
        <v>0</v>
      </c>
      <c r="E373" s="56"/>
      <c r="F373" s="57"/>
      <c r="G373" s="59">
        <f>ROUND(SUM(G374:G377),5)</f>
        <v>81907.4788</v>
      </c>
    </row>
    <row r="374" spans="1:7" ht="15">
      <c r="A374" s="8" t="s">
        <v>0</v>
      </c>
      <c r="B374" s="9" t="s">
        <v>0</v>
      </c>
      <c r="C374" s="9" t="s">
        <v>273</v>
      </c>
      <c r="D374" s="9" t="s">
        <v>14</v>
      </c>
      <c r="E374" s="56">
        <f>0.049</f>
        <v>0.049</v>
      </c>
      <c r="F374" s="57">
        <f>'Gia NC,CM'!P24</f>
        <v>1671581.2</v>
      </c>
      <c r="G374" s="58">
        <f>ROUND(E374*F374,5)</f>
        <v>81907.4788</v>
      </c>
    </row>
    <row r="375" spans="1:7" ht="15">
      <c r="A375" s="8" t="s">
        <v>0</v>
      </c>
      <c r="B375" s="9" t="s">
        <v>0</v>
      </c>
      <c r="C375" s="9" t="s">
        <v>0</v>
      </c>
      <c r="D375" s="9" t="s">
        <v>0</v>
      </c>
      <c r="E375" s="56"/>
      <c r="F375" s="57"/>
      <c r="G375" s="58"/>
    </row>
    <row r="376" spans="1:7" ht="15">
      <c r="A376" s="8" t="s">
        <v>172</v>
      </c>
      <c r="B376" s="9" t="s">
        <v>275</v>
      </c>
      <c r="C376" s="9" t="s">
        <v>271</v>
      </c>
      <c r="D376" s="9" t="s">
        <v>267</v>
      </c>
      <c r="E376" s="56"/>
      <c r="F376" s="57"/>
      <c r="G376" s="58"/>
    </row>
    <row r="377" spans="1:7" ht="15">
      <c r="A377" s="8" t="s">
        <v>0</v>
      </c>
      <c r="B377" s="9" t="s">
        <v>0</v>
      </c>
      <c r="C377" s="9" t="s">
        <v>276</v>
      </c>
      <c r="D377" s="9" t="s">
        <v>0</v>
      </c>
      <c r="E377" s="56"/>
      <c r="F377" s="57"/>
      <c r="G377" s="58"/>
    </row>
    <row r="378" spans="1:7" ht="15.75">
      <c r="A378" s="8" t="s">
        <v>0</v>
      </c>
      <c r="B378" s="9" t="s">
        <v>0</v>
      </c>
      <c r="C378" s="9" t="s">
        <v>386</v>
      </c>
      <c r="D378" s="9" t="s">
        <v>0</v>
      </c>
      <c r="E378" s="56"/>
      <c r="F378" s="57"/>
      <c r="G378" s="59">
        <f>ROUND(SUM(G379:G380),5)</f>
        <v>60176.9232</v>
      </c>
    </row>
    <row r="379" spans="1:7" ht="15">
      <c r="A379" s="8" t="s">
        <v>0</v>
      </c>
      <c r="B379" s="9" t="s">
        <v>0</v>
      </c>
      <c r="C379" s="9" t="s">
        <v>273</v>
      </c>
      <c r="D379" s="9" t="s">
        <v>14</v>
      </c>
      <c r="E379" s="56">
        <f>0.036</f>
        <v>0.036</v>
      </c>
      <c r="F379" s="57">
        <f>'Gia NC,CM'!P24</f>
        <v>1671581.2</v>
      </c>
      <c r="G379" s="58">
        <f>ROUND(E379*F379,5)</f>
        <v>60176.9232</v>
      </c>
    </row>
    <row r="380" spans="1:7" ht="15.75" thickBot="1">
      <c r="A380" s="11" t="s">
        <v>0</v>
      </c>
      <c r="B380" s="12" t="s">
        <v>0</v>
      </c>
      <c r="C380" s="12" t="s">
        <v>0</v>
      </c>
      <c r="D380" s="12" t="s">
        <v>0</v>
      </c>
      <c r="E380" s="60"/>
      <c r="F380" s="61"/>
      <c r="G380" s="62"/>
    </row>
  </sheetData>
  <sheetProtection/>
  <mergeCells count="4">
    <mergeCell ref="A1:G1"/>
    <mergeCell ref="A3:G3"/>
    <mergeCell ref="A4:G4"/>
    <mergeCell ref="A5:G5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PageLayoutView="0" workbookViewId="0" topLeftCell="A1">
      <selection activeCell="A1" sqref="A1:P1"/>
    </sheetView>
  </sheetViews>
  <sheetFormatPr defaultColWidth="8.796875" defaultRowHeight="15"/>
  <cols>
    <col min="1" max="1" width="7.59765625" style="70" customWidth="1"/>
    <col min="2" max="2" width="19.59765625" style="70" customWidth="1"/>
    <col min="3" max="3" width="4.09765625" style="70" customWidth="1"/>
    <col min="4" max="4" width="4.09765625" style="71" customWidth="1"/>
    <col min="5" max="5" width="4.59765625" style="72" customWidth="1"/>
    <col min="6" max="7" width="4.09765625" style="72" customWidth="1"/>
    <col min="8" max="8" width="11.09765625" style="70" customWidth="1"/>
    <col min="9" max="9" width="11.59765625" style="70" customWidth="1"/>
    <col min="10" max="10" width="9.09765625" style="73" customWidth="1"/>
    <col min="11" max="15" width="8.59765625" style="73" customWidth="1"/>
    <col min="16" max="16" width="9.09765625" style="73" customWidth="1"/>
    <col min="17" max="16384" width="9" style="70" customWidth="1"/>
  </cols>
  <sheetData>
    <row r="1" spans="1:16" ht="22.5" customHeight="1">
      <c r="A1" s="262" t="s">
        <v>500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16" ht="12.75">
      <c r="A2" s="92"/>
      <c r="B2" s="92"/>
      <c r="C2" s="92"/>
      <c r="D2" s="93"/>
      <c r="E2" s="94"/>
      <c r="F2" s="94"/>
      <c r="G2" s="94"/>
      <c r="H2" s="92"/>
      <c r="I2" s="92"/>
      <c r="J2" s="95"/>
      <c r="K2" s="95"/>
      <c r="L2" s="95"/>
      <c r="M2" s="95"/>
      <c r="N2" s="95"/>
      <c r="O2" s="95"/>
      <c r="P2" s="95"/>
    </row>
    <row r="3" spans="1:16" s="25" customFormat="1" ht="15" customHeight="1">
      <c r="A3" s="261" t="s">
        <v>478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s="25" customFormat="1" ht="15" customHeight="1">
      <c r="A4" s="261" t="s">
        <v>479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6" s="25" customFormat="1" ht="16.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ht="13.5" thickBot="1">
      <c r="A6" s="92"/>
      <c r="B6" s="92"/>
      <c r="C6" s="92"/>
      <c r="D6" s="93"/>
      <c r="E6" s="94"/>
      <c r="F6" s="94"/>
      <c r="G6" s="94"/>
      <c r="H6" s="92"/>
      <c r="I6" s="92"/>
      <c r="J6" s="95"/>
      <c r="K6" s="95"/>
      <c r="L6" s="95"/>
      <c r="M6" s="95"/>
      <c r="N6" s="95"/>
      <c r="O6" s="95"/>
      <c r="P6" s="95"/>
    </row>
    <row r="7" spans="1:16" ht="45" customHeight="1">
      <c r="A7" s="96" t="s">
        <v>501</v>
      </c>
      <c r="B7" s="97" t="s">
        <v>502</v>
      </c>
      <c r="C7" s="97" t="s">
        <v>503</v>
      </c>
      <c r="D7" s="98" t="s">
        <v>504</v>
      </c>
      <c r="E7" s="99" t="s">
        <v>505</v>
      </c>
      <c r="F7" s="99" t="s">
        <v>506</v>
      </c>
      <c r="G7" s="99" t="s">
        <v>507</v>
      </c>
      <c r="H7" s="97" t="s">
        <v>508</v>
      </c>
      <c r="I7" s="97" t="s">
        <v>509</v>
      </c>
      <c r="J7" s="100" t="s">
        <v>510</v>
      </c>
      <c r="K7" s="100" t="s">
        <v>511</v>
      </c>
      <c r="L7" s="100" t="s">
        <v>512</v>
      </c>
      <c r="M7" s="100" t="s">
        <v>513</v>
      </c>
      <c r="N7" s="100" t="s">
        <v>514</v>
      </c>
      <c r="O7" s="100" t="s">
        <v>515</v>
      </c>
      <c r="P7" s="101" t="s">
        <v>516</v>
      </c>
    </row>
    <row r="8" spans="1:16" ht="12.75">
      <c r="A8" s="86" t="s">
        <v>0</v>
      </c>
      <c r="B8" s="87" t="s">
        <v>25</v>
      </c>
      <c r="C8" s="87" t="s">
        <v>12</v>
      </c>
      <c r="D8" s="88">
        <v>0</v>
      </c>
      <c r="E8" s="89">
        <v>0</v>
      </c>
      <c r="F8" s="89">
        <v>0</v>
      </c>
      <c r="G8" s="89">
        <v>0</v>
      </c>
      <c r="H8" s="87" t="s">
        <v>15</v>
      </c>
      <c r="I8" s="87" t="s">
        <v>430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1">
        <f>ROUND(218559.2,1)</f>
        <v>218559.2</v>
      </c>
    </row>
    <row r="9" spans="1:16" ht="12.75">
      <c r="A9" s="74" t="s">
        <v>0</v>
      </c>
      <c r="B9" s="75" t="s">
        <v>46</v>
      </c>
      <c r="C9" s="75" t="s">
        <v>12</v>
      </c>
      <c r="D9" s="76">
        <v>0</v>
      </c>
      <c r="E9" s="77">
        <v>0</v>
      </c>
      <c r="F9" s="77">
        <v>0</v>
      </c>
      <c r="G9" s="77">
        <v>0</v>
      </c>
      <c r="H9" s="75" t="s">
        <v>0</v>
      </c>
      <c r="I9" s="75" t="s">
        <v>429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9">
        <f>ROUND(230630.3,1)</f>
        <v>230630.3</v>
      </c>
    </row>
    <row r="10" spans="1:16" ht="12.75">
      <c r="A10" s="74" t="s">
        <v>0</v>
      </c>
      <c r="B10" s="75" t="s">
        <v>78</v>
      </c>
      <c r="C10" s="75" t="s">
        <v>12</v>
      </c>
      <c r="D10" s="76">
        <v>0</v>
      </c>
      <c r="E10" s="77">
        <v>0</v>
      </c>
      <c r="F10" s="77">
        <v>0</v>
      </c>
      <c r="G10" s="77">
        <v>0</v>
      </c>
      <c r="H10" s="75" t="s">
        <v>0</v>
      </c>
      <c r="I10" s="75" t="s">
        <v>428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9">
        <f>ROUND(239000,1)</f>
        <v>239000</v>
      </c>
    </row>
    <row r="11" spans="1:16" ht="12.75">
      <c r="A11" s="74" t="s">
        <v>0</v>
      </c>
      <c r="B11" s="75" t="s">
        <v>38</v>
      </c>
      <c r="C11" s="75" t="s">
        <v>12</v>
      </c>
      <c r="D11" s="76">
        <v>0</v>
      </c>
      <c r="E11" s="77">
        <v>0</v>
      </c>
      <c r="F11" s="77">
        <v>0</v>
      </c>
      <c r="G11" s="77">
        <v>0</v>
      </c>
      <c r="H11" s="75" t="s">
        <v>0</v>
      </c>
      <c r="I11" s="75" t="s">
        <v>427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9">
        <f>ROUND(252200,1)</f>
        <v>252200</v>
      </c>
    </row>
    <row r="12" spans="1:16" ht="12.75">
      <c r="A12" s="74" t="s">
        <v>0</v>
      </c>
      <c r="B12" s="75" t="s">
        <v>11</v>
      </c>
      <c r="C12" s="75" t="s">
        <v>12</v>
      </c>
      <c r="D12" s="76">
        <v>0</v>
      </c>
      <c r="E12" s="77">
        <v>0</v>
      </c>
      <c r="F12" s="77">
        <v>0</v>
      </c>
      <c r="G12" s="77">
        <v>0</v>
      </c>
      <c r="H12" s="75" t="s">
        <v>0</v>
      </c>
      <c r="I12" s="75" t="s">
        <v>426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9">
        <f>ROUND(273769.7,1)</f>
        <v>273769.7</v>
      </c>
    </row>
    <row r="13" spans="1:16" ht="12.75">
      <c r="A13" s="74" t="s">
        <v>425</v>
      </c>
      <c r="B13" s="75" t="s">
        <v>124</v>
      </c>
      <c r="C13" s="75" t="s">
        <v>14</v>
      </c>
      <c r="D13" s="76">
        <v>90</v>
      </c>
      <c r="E13" s="77">
        <v>14</v>
      </c>
      <c r="F13" s="77">
        <v>7</v>
      </c>
      <c r="G13" s="77">
        <v>4</v>
      </c>
      <c r="H13" s="75" t="s">
        <v>424</v>
      </c>
      <c r="I13" s="75" t="s">
        <v>0</v>
      </c>
      <c r="J13" s="78">
        <v>7900</v>
      </c>
      <c r="K13" s="78">
        <f>J13*E13/D13*10</f>
        <v>12288.888888888889</v>
      </c>
      <c r="L13" s="78">
        <f aca="true" t="shared" si="0" ref="L13:L26">J13*F13/D13*10</f>
        <v>6144.444444444444</v>
      </c>
      <c r="M13" s="78">
        <f>3*1864.4*1.05</f>
        <v>5872.860000000001</v>
      </c>
      <c r="N13" s="78"/>
      <c r="O13" s="78">
        <f aca="true" t="shared" si="1" ref="O13:O26">J13*G13/D13*10</f>
        <v>3511.111111111111</v>
      </c>
      <c r="P13" s="79">
        <f aca="true" t="shared" si="2" ref="P13:P26">ROUND(K13+L13+M13+N13+O13,1)</f>
        <v>27817.3</v>
      </c>
    </row>
    <row r="14" spans="1:16" ht="12.75">
      <c r="A14" s="74" t="s">
        <v>423</v>
      </c>
      <c r="B14" s="75" t="s">
        <v>207</v>
      </c>
      <c r="C14" s="75" t="s">
        <v>14</v>
      </c>
      <c r="D14" s="76">
        <v>240</v>
      </c>
      <c r="E14" s="77">
        <v>14</v>
      </c>
      <c r="F14" s="77">
        <v>4.1</v>
      </c>
      <c r="G14" s="77">
        <v>4</v>
      </c>
      <c r="H14" s="75" t="s">
        <v>422</v>
      </c>
      <c r="I14" s="75" t="s">
        <v>408</v>
      </c>
      <c r="J14" s="78">
        <v>18200</v>
      </c>
      <c r="K14" s="78">
        <f>J14*E14/D14*10</f>
        <v>10616.666666666668</v>
      </c>
      <c r="L14" s="78">
        <f t="shared" si="0"/>
        <v>3109.166666666667</v>
      </c>
      <c r="M14" s="78">
        <f>9*1864.4*1.05</f>
        <v>17618.58</v>
      </c>
      <c r="N14" s="78">
        <f>(1*244987.5)*1</f>
        <v>244987.5</v>
      </c>
      <c r="O14" s="78">
        <f t="shared" si="1"/>
        <v>3033.333333333333</v>
      </c>
      <c r="P14" s="79">
        <f t="shared" si="2"/>
        <v>279365.2</v>
      </c>
    </row>
    <row r="15" spans="1:16" ht="12.75">
      <c r="A15" s="74" t="s">
        <v>419</v>
      </c>
      <c r="B15" s="75" t="s">
        <v>13</v>
      </c>
      <c r="C15" s="75" t="s">
        <v>14</v>
      </c>
      <c r="D15" s="76">
        <v>170</v>
      </c>
      <c r="E15" s="77">
        <v>19</v>
      </c>
      <c r="F15" s="77">
        <v>6.8</v>
      </c>
      <c r="G15" s="77">
        <v>5</v>
      </c>
      <c r="H15" s="75" t="s">
        <v>418</v>
      </c>
      <c r="I15" s="75" t="s">
        <v>408</v>
      </c>
      <c r="J15" s="78">
        <v>17828</v>
      </c>
      <c r="K15" s="78">
        <f>J15*E15/D15*10</f>
        <v>19925.41176470588</v>
      </c>
      <c r="L15" s="78">
        <f t="shared" si="0"/>
        <v>7131.2</v>
      </c>
      <c r="M15" s="78">
        <f>8*1864.4*1.05</f>
        <v>15660.960000000001</v>
      </c>
      <c r="N15" s="78">
        <f>(1*244987.5)*1</f>
        <v>244987.5</v>
      </c>
      <c r="O15" s="78">
        <f t="shared" si="1"/>
        <v>5243.529411764706</v>
      </c>
      <c r="P15" s="79">
        <f t="shared" si="2"/>
        <v>292948.6</v>
      </c>
    </row>
    <row r="16" spans="1:16" ht="12.75">
      <c r="A16" s="74" t="s">
        <v>421</v>
      </c>
      <c r="B16" s="75" t="s">
        <v>47</v>
      </c>
      <c r="C16" s="75" t="s">
        <v>14</v>
      </c>
      <c r="D16" s="76">
        <v>165</v>
      </c>
      <c r="E16" s="77">
        <v>19</v>
      </c>
      <c r="F16" s="77">
        <v>6.5</v>
      </c>
      <c r="G16" s="77">
        <v>5</v>
      </c>
      <c r="H16" s="75" t="s">
        <v>420</v>
      </c>
      <c r="I16" s="75" t="s">
        <v>408</v>
      </c>
      <c r="J16" s="78">
        <v>30210</v>
      </c>
      <c r="K16" s="78">
        <f>J16*(1-0.1)*E16/D16*10</f>
        <v>31308.545454545456</v>
      </c>
      <c r="L16" s="78">
        <f t="shared" si="0"/>
        <v>11900.90909090909</v>
      </c>
      <c r="M16" s="78">
        <f>11*1864.4*1.05</f>
        <v>21533.820000000003</v>
      </c>
      <c r="N16" s="78">
        <f>(1*244987.5)*1</f>
        <v>244987.5</v>
      </c>
      <c r="O16" s="78">
        <f t="shared" si="1"/>
        <v>9154.545454545456</v>
      </c>
      <c r="P16" s="79">
        <f t="shared" si="2"/>
        <v>318885.3</v>
      </c>
    </row>
    <row r="17" spans="1:16" ht="12.75">
      <c r="A17" s="74" t="s">
        <v>419</v>
      </c>
      <c r="B17" s="75" t="s">
        <v>55</v>
      </c>
      <c r="C17" s="75" t="s">
        <v>14</v>
      </c>
      <c r="D17" s="76">
        <v>170</v>
      </c>
      <c r="E17" s="77">
        <v>19</v>
      </c>
      <c r="F17" s="77">
        <v>6.8</v>
      </c>
      <c r="G17" s="77">
        <v>5</v>
      </c>
      <c r="H17" s="75" t="s">
        <v>418</v>
      </c>
      <c r="I17" s="75" t="s">
        <v>408</v>
      </c>
      <c r="J17" s="78">
        <v>17828</v>
      </c>
      <c r="K17" s="78">
        <f>J17*E17/D17*10</f>
        <v>19925.41176470588</v>
      </c>
      <c r="L17" s="78">
        <f t="shared" si="0"/>
        <v>7131.2</v>
      </c>
      <c r="M17" s="78">
        <f>8*1864.4*1.05</f>
        <v>15660.960000000001</v>
      </c>
      <c r="N17" s="78">
        <f>(1*244987.5)*1</f>
        <v>244987.5</v>
      </c>
      <c r="O17" s="78">
        <f t="shared" si="1"/>
        <v>5243.529411764706</v>
      </c>
      <c r="P17" s="79">
        <f t="shared" si="2"/>
        <v>292948.6</v>
      </c>
    </row>
    <row r="18" spans="1:16" ht="12.75">
      <c r="A18" s="74" t="s">
        <v>417</v>
      </c>
      <c r="B18" s="75" t="s">
        <v>187</v>
      </c>
      <c r="C18" s="75" t="s">
        <v>14</v>
      </c>
      <c r="D18" s="76">
        <v>280</v>
      </c>
      <c r="E18" s="77">
        <v>17</v>
      </c>
      <c r="F18" s="77">
        <v>5.8</v>
      </c>
      <c r="G18" s="77">
        <v>5</v>
      </c>
      <c r="H18" s="75" t="s">
        <v>416</v>
      </c>
      <c r="I18" s="75" t="s">
        <v>415</v>
      </c>
      <c r="J18" s="78">
        <v>809944</v>
      </c>
      <c r="K18" s="78">
        <f>J18*(1-0.1)*E18/D18*10</f>
        <v>442576.54285714286</v>
      </c>
      <c r="L18" s="78">
        <f t="shared" si="0"/>
        <v>167774.11428571428</v>
      </c>
      <c r="M18" s="78">
        <f>43*17374*1.03</f>
        <v>769494.46</v>
      </c>
      <c r="N18" s="78">
        <f>(1*290812.5)*1</f>
        <v>290812.5</v>
      </c>
      <c r="O18" s="78">
        <f t="shared" si="1"/>
        <v>144632.85714285713</v>
      </c>
      <c r="P18" s="79">
        <f t="shared" si="2"/>
        <v>1815290.5</v>
      </c>
    </row>
    <row r="19" spans="1:16" ht="12.75">
      <c r="A19" s="74" t="s">
        <v>414</v>
      </c>
      <c r="B19" s="75" t="s">
        <v>48</v>
      </c>
      <c r="C19" s="75" t="s">
        <v>14</v>
      </c>
      <c r="D19" s="76">
        <v>150</v>
      </c>
      <c r="E19" s="77">
        <v>25</v>
      </c>
      <c r="F19" s="77">
        <v>8.8</v>
      </c>
      <c r="G19" s="77">
        <v>4</v>
      </c>
      <c r="H19" s="75" t="s">
        <v>413</v>
      </c>
      <c r="I19" s="75" t="s">
        <v>408</v>
      </c>
      <c r="J19" s="78">
        <v>6420</v>
      </c>
      <c r="K19" s="78">
        <f>J19*E19/D19*10</f>
        <v>10700</v>
      </c>
      <c r="L19" s="78">
        <f t="shared" si="0"/>
        <v>3766.4000000000005</v>
      </c>
      <c r="M19" s="78">
        <f>5*1864.4*1.05</f>
        <v>9788.1</v>
      </c>
      <c r="N19" s="78">
        <f>(1*244987.5)*1</f>
        <v>244987.5</v>
      </c>
      <c r="O19" s="78">
        <f t="shared" si="1"/>
        <v>1712</v>
      </c>
      <c r="P19" s="79">
        <f t="shared" si="2"/>
        <v>270954</v>
      </c>
    </row>
    <row r="20" spans="1:16" ht="12.75">
      <c r="A20" s="74" t="s">
        <v>412</v>
      </c>
      <c r="B20" s="75" t="s">
        <v>215</v>
      </c>
      <c r="C20" s="75" t="s">
        <v>14</v>
      </c>
      <c r="D20" s="76">
        <v>150</v>
      </c>
      <c r="E20" s="77">
        <v>20</v>
      </c>
      <c r="F20" s="77">
        <v>8.8</v>
      </c>
      <c r="G20" s="77">
        <v>4</v>
      </c>
      <c r="H20" s="75" t="s">
        <v>411</v>
      </c>
      <c r="I20" s="75" t="s">
        <v>408</v>
      </c>
      <c r="J20" s="78">
        <v>7395</v>
      </c>
      <c r="K20" s="78">
        <f>J20*E20/D20*10</f>
        <v>9860</v>
      </c>
      <c r="L20" s="78">
        <f t="shared" si="0"/>
        <v>4338.400000000001</v>
      </c>
      <c r="M20" s="78">
        <f>7*1864.4*1.05</f>
        <v>13703.340000000002</v>
      </c>
      <c r="N20" s="78">
        <f>(1*244987.5)*1</f>
        <v>244987.5</v>
      </c>
      <c r="O20" s="78">
        <f t="shared" si="1"/>
        <v>1972</v>
      </c>
      <c r="P20" s="79">
        <f t="shared" si="2"/>
        <v>274861.2</v>
      </c>
    </row>
    <row r="21" spans="1:16" ht="12.75">
      <c r="A21" s="74" t="s">
        <v>410</v>
      </c>
      <c r="B21" s="75" t="s">
        <v>30</v>
      </c>
      <c r="C21" s="75" t="s">
        <v>14</v>
      </c>
      <c r="D21" s="76">
        <v>200</v>
      </c>
      <c r="E21" s="77">
        <v>20</v>
      </c>
      <c r="F21" s="77">
        <v>5.4</v>
      </c>
      <c r="G21" s="77">
        <v>4</v>
      </c>
      <c r="H21" s="75" t="s">
        <v>409</v>
      </c>
      <c r="I21" s="75" t="s">
        <v>408</v>
      </c>
      <c r="J21" s="78">
        <v>35771</v>
      </c>
      <c r="K21" s="78">
        <f aca="true" t="shared" si="3" ref="K21:K26">J21*(1-0.1)*E21/D21*10</f>
        <v>32193.899999999998</v>
      </c>
      <c r="L21" s="78">
        <f t="shared" si="0"/>
        <v>9658.170000000002</v>
      </c>
      <c r="M21" s="78">
        <f>4*20339*1.02</f>
        <v>82983.12</v>
      </c>
      <c r="N21" s="78">
        <f>(1*244987.5)*1</f>
        <v>244987.5</v>
      </c>
      <c r="O21" s="78">
        <f t="shared" si="1"/>
        <v>7154.2</v>
      </c>
      <c r="P21" s="79">
        <f t="shared" si="2"/>
        <v>376976.9</v>
      </c>
    </row>
    <row r="22" spans="1:16" ht="12.75">
      <c r="A22" s="74" t="s">
        <v>407</v>
      </c>
      <c r="B22" s="75" t="s">
        <v>259</v>
      </c>
      <c r="C22" s="75" t="s">
        <v>14</v>
      </c>
      <c r="D22" s="76">
        <v>280</v>
      </c>
      <c r="E22" s="77">
        <v>17</v>
      </c>
      <c r="F22" s="77">
        <v>7.3</v>
      </c>
      <c r="G22" s="77">
        <v>6</v>
      </c>
      <c r="H22" s="75" t="s">
        <v>406</v>
      </c>
      <c r="I22" s="75" t="s">
        <v>396</v>
      </c>
      <c r="J22" s="78">
        <v>704070</v>
      </c>
      <c r="K22" s="78">
        <f t="shared" si="3"/>
        <v>384723.9642857143</v>
      </c>
      <c r="L22" s="78">
        <f t="shared" si="0"/>
        <v>183561.10714285716</v>
      </c>
      <c r="M22" s="78">
        <f>57*17374*1.03</f>
        <v>1020027.54</v>
      </c>
      <c r="N22" s="78">
        <f>(1*267900)*1</f>
        <v>267900</v>
      </c>
      <c r="O22" s="78">
        <f t="shared" si="1"/>
        <v>150872.14285714287</v>
      </c>
      <c r="P22" s="79">
        <f t="shared" si="2"/>
        <v>2007084.8</v>
      </c>
    </row>
    <row r="23" spans="1:16" ht="12.75">
      <c r="A23" s="74" t="s">
        <v>405</v>
      </c>
      <c r="B23" s="75" t="s">
        <v>249</v>
      </c>
      <c r="C23" s="75" t="s">
        <v>14</v>
      </c>
      <c r="D23" s="76">
        <v>260</v>
      </c>
      <c r="E23" s="77">
        <v>17</v>
      </c>
      <c r="F23" s="77">
        <v>7.3</v>
      </c>
      <c r="G23" s="77">
        <v>6</v>
      </c>
      <c r="H23" s="75" t="s">
        <v>404</v>
      </c>
      <c r="I23" s="75" t="s">
        <v>396</v>
      </c>
      <c r="J23" s="78">
        <v>616643</v>
      </c>
      <c r="K23" s="78">
        <f t="shared" si="3"/>
        <v>362870.68846153846</v>
      </c>
      <c r="L23" s="78">
        <f t="shared" si="0"/>
        <v>173134.38076923075</v>
      </c>
      <c r="M23" s="78">
        <f>46*17374*1.03</f>
        <v>823180.12</v>
      </c>
      <c r="N23" s="78">
        <f>(1*267900)*1</f>
        <v>267900</v>
      </c>
      <c r="O23" s="78">
        <f t="shared" si="1"/>
        <v>142302.23076923078</v>
      </c>
      <c r="P23" s="79">
        <f t="shared" si="2"/>
        <v>1769387.4</v>
      </c>
    </row>
    <row r="24" spans="1:16" ht="12.75">
      <c r="A24" s="74" t="s">
        <v>403</v>
      </c>
      <c r="B24" s="75" t="s">
        <v>273</v>
      </c>
      <c r="C24" s="75" t="s">
        <v>14</v>
      </c>
      <c r="D24" s="76">
        <v>260</v>
      </c>
      <c r="E24" s="77">
        <v>16</v>
      </c>
      <c r="F24" s="77">
        <v>6.2</v>
      </c>
      <c r="G24" s="77">
        <v>6</v>
      </c>
      <c r="H24" s="75" t="s">
        <v>402</v>
      </c>
      <c r="I24" s="75" t="s">
        <v>401</v>
      </c>
      <c r="J24" s="78">
        <v>606044</v>
      </c>
      <c r="K24" s="78">
        <f t="shared" si="3"/>
        <v>335655.1384615385</v>
      </c>
      <c r="L24" s="78">
        <f t="shared" si="0"/>
        <v>144518.18461538464</v>
      </c>
      <c r="M24" s="78">
        <f>41*17374*1.03</f>
        <v>733704.02</v>
      </c>
      <c r="N24" s="78">
        <f>(1*317847.5)*1</f>
        <v>317847.5</v>
      </c>
      <c r="O24" s="78">
        <f t="shared" si="1"/>
        <v>139856.3076923077</v>
      </c>
      <c r="P24" s="79">
        <f t="shared" si="2"/>
        <v>1671581.2</v>
      </c>
    </row>
    <row r="25" spans="1:16" ht="12.75">
      <c r="A25" s="74" t="s">
        <v>400</v>
      </c>
      <c r="B25" s="75" t="s">
        <v>90</v>
      </c>
      <c r="C25" s="75" t="s">
        <v>14</v>
      </c>
      <c r="D25" s="76">
        <v>250</v>
      </c>
      <c r="E25" s="77">
        <v>17</v>
      </c>
      <c r="F25" s="77">
        <v>6.2</v>
      </c>
      <c r="G25" s="77">
        <v>6</v>
      </c>
      <c r="H25" s="75" t="s">
        <v>399</v>
      </c>
      <c r="I25" s="75" t="s">
        <v>396</v>
      </c>
      <c r="J25" s="78">
        <v>317869</v>
      </c>
      <c r="K25" s="78">
        <f t="shared" si="3"/>
        <v>194535.828</v>
      </c>
      <c r="L25" s="78">
        <f t="shared" si="0"/>
        <v>78831.512</v>
      </c>
      <c r="M25" s="78">
        <f>25*17374*1.03</f>
        <v>447380.5</v>
      </c>
      <c r="N25" s="78">
        <f>(1*267900)*1</f>
        <v>267900</v>
      </c>
      <c r="O25" s="78">
        <f t="shared" si="1"/>
        <v>76288.56</v>
      </c>
      <c r="P25" s="79">
        <f t="shared" si="2"/>
        <v>1064936.4</v>
      </c>
    </row>
    <row r="26" spans="1:16" ht="13.5" thickBot="1">
      <c r="A26" s="80" t="s">
        <v>398</v>
      </c>
      <c r="B26" s="81" t="s">
        <v>116</v>
      </c>
      <c r="C26" s="81" t="s">
        <v>14</v>
      </c>
      <c r="D26" s="82">
        <v>250</v>
      </c>
      <c r="E26" s="83">
        <v>17</v>
      </c>
      <c r="F26" s="83">
        <v>6.2</v>
      </c>
      <c r="G26" s="83">
        <v>6</v>
      </c>
      <c r="H26" s="81" t="s">
        <v>397</v>
      </c>
      <c r="I26" s="81" t="s">
        <v>396</v>
      </c>
      <c r="J26" s="84">
        <v>427131</v>
      </c>
      <c r="K26" s="84">
        <f t="shared" si="3"/>
        <v>261404.17200000002</v>
      </c>
      <c r="L26" s="84">
        <f t="shared" si="0"/>
        <v>105928.48800000001</v>
      </c>
      <c r="M26" s="84">
        <f>31*17374*1.03</f>
        <v>554751.8200000001</v>
      </c>
      <c r="N26" s="84">
        <f>(1*267900)*1</f>
        <v>267900</v>
      </c>
      <c r="O26" s="84">
        <f t="shared" si="1"/>
        <v>102511.44</v>
      </c>
      <c r="P26" s="85">
        <f t="shared" si="2"/>
        <v>1292495.9</v>
      </c>
    </row>
  </sheetData>
  <sheetProtection/>
  <mergeCells count="4">
    <mergeCell ref="A1:P1"/>
    <mergeCell ref="A3:P3"/>
    <mergeCell ref="A4:P4"/>
    <mergeCell ref="A5:P5"/>
  </mergeCells>
  <printOptions horizontalCentered="1"/>
  <pageMargins left="0.4" right="0.2" top="0.7" bottom="0.7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showZeros="0" zoomScalePageLayoutView="0" workbookViewId="0" topLeftCell="A9">
      <selection activeCell="Q20" sqref="Q20"/>
    </sheetView>
  </sheetViews>
  <sheetFormatPr defaultColWidth="8.796875" defaultRowHeight="15"/>
  <cols>
    <col min="1" max="1" width="3.59765625" style="37" customWidth="1"/>
    <col min="2" max="2" width="32.59765625" style="37" bestFit="1" customWidth="1"/>
    <col min="3" max="3" width="4.09765625" style="37" customWidth="1"/>
    <col min="4" max="4" width="9.19921875" style="37" customWidth="1"/>
    <col min="5" max="5" width="9.3984375" style="37" customWidth="1"/>
    <col min="6" max="9" width="3.5" style="113" customWidth="1"/>
    <col min="10" max="10" width="7" style="38" customWidth="1"/>
    <col min="11" max="13" width="4.3984375" style="116" customWidth="1"/>
    <col min="14" max="14" width="9.3984375" style="38" customWidth="1"/>
    <col min="15" max="15" width="7.09765625" style="38" customWidth="1"/>
    <col min="16" max="16" width="10.3984375" style="38" customWidth="1"/>
    <col min="17" max="17" width="10.8984375" style="38" customWidth="1"/>
    <col min="18" max="18" width="12" style="37" customWidth="1"/>
    <col min="19" max="16384" width="9" style="37" customWidth="1"/>
  </cols>
  <sheetData>
    <row r="1" spans="1:17" ht="21" customHeight="1">
      <c r="A1" s="262" t="s">
        <v>517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ht="14.25">
      <c r="A2" s="40"/>
      <c r="B2" s="40"/>
      <c r="C2" s="40"/>
      <c r="D2" s="40"/>
      <c r="E2" s="40"/>
      <c r="F2" s="126"/>
      <c r="G2" s="126"/>
      <c r="H2" s="126"/>
      <c r="I2" s="126"/>
      <c r="J2" s="41"/>
      <c r="K2" s="127"/>
      <c r="L2" s="127"/>
      <c r="M2" s="127"/>
      <c r="N2" s="41"/>
      <c r="O2" s="41"/>
      <c r="P2" s="41"/>
      <c r="Q2" s="41"/>
    </row>
    <row r="3" spans="1:17" s="25" customFormat="1" ht="16.5" customHeight="1">
      <c r="A3" s="261" t="s">
        <v>478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17" s="25" customFormat="1" ht="16.5" customHeight="1">
      <c r="A4" s="261" t="s">
        <v>479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7" s="25" customFormat="1" ht="16.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17" ht="15" thickBot="1">
      <c r="A6" s="40"/>
      <c r="B6" s="40"/>
      <c r="C6" s="40"/>
      <c r="D6" s="40"/>
      <c r="E6" s="40"/>
      <c r="F6" s="126"/>
      <c r="G6" s="126"/>
      <c r="H6" s="126"/>
      <c r="I6" s="126"/>
      <c r="J6" s="41"/>
      <c r="K6" s="127"/>
      <c r="L6" s="127"/>
      <c r="M6" s="127"/>
      <c r="N6" s="41"/>
      <c r="O6" s="41"/>
      <c r="P6" s="41"/>
      <c r="Q6" s="41"/>
    </row>
    <row r="7" spans="1:18" ht="45" customHeight="1">
      <c r="A7" s="131" t="s">
        <v>302</v>
      </c>
      <c r="B7" s="132" t="s">
        <v>518</v>
      </c>
      <c r="C7" s="133" t="s">
        <v>490</v>
      </c>
      <c r="D7" s="132" t="s">
        <v>519</v>
      </c>
      <c r="E7" s="132" t="s">
        <v>520</v>
      </c>
      <c r="F7" s="128" t="s">
        <v>521</v>
      </c>
      <c r="G7" s="128" t="s">
        <v>522</v>
      </c>
      <c r="H7" s="128" t="s">
        <v>523</v>
      </c>
      <c r="I7" s="128" t="s">
        <v>524</v>
      </c>
      <c r="J7" s="129" t="s">
        <v>525</v>
      </c>
      <c r="K7" s="130" t="s">
        <v>526</v>
      </c>
      <c r="L7" s="130" t="s">
        <v>527</v>
      </c>
      <c r="M7" s="130" t="s">
        <v>528</v>
      </c>
      <c r="N7" s="134" t="s">
        <v>529</v>
      </c>
      <c r="O7" s="134" t="s">
        <v>530</v>
      </c>
      <c r="P7" s="135" t="s">
        <v>531</v>
      </c>
      <c r="Q7" s="136" t="s">
        <v>532</v>
      </c>
      <c r="R7" s="37" t="s">
        <v>395</v>
      </c>
    </row>
    <row r="8" spans="1:18" ht="14.25">
      <c r="A8" s="119" t="s">
        <v>369</v>
      </c>
      <c r="B8" s="120" t="s">
        <v>471</v>
      </c>
      <c r="C8" s="120" t="s">
        <v>175</v>
      </c>
      <c r="D8" s="120" t="s">
        <v>0</v>
      </c>
      <c r="E8" s="120" t="s">
        <v>0</v>
      </c>
      <c r="F8" s="121" t="s">
        <v>0</v>
      </c>
      <c r="G8" s="121" t="s">
        <v>0</v>
      </c>
      <c r="H8" s="121"/>
      <c r="I8" s="121" t="s">
        <v>439</v>
      </c>
      <c r="J8" s="122"/>
      <c r="K8" s="123"/>
      <c r="L8" s="123"/>
      <c r="M8" s="123"/>
      <c r="N8" s="124"/>
      <c r="O8" s="124"/>
      <c r="P8" s="124">
        <v>450000</v>
      </c>
      <c r="Q8" s="125">
        <f>N8+O8+P8</f>
        <v>450000</v>
      </c>
      <c r="R8" s="37" t="s">
        <v>0</v>
      </c>
    </row>
    <row r="9" spans="1:18" ht="14.25">
      <c r="A9" s="43" t="s">
        <v>384</v>
      </c>
      <c r="B9" s="44" t="s">
        <v>470</v>
      </c>
      <c r="C9" s="44" t="s">
        <v>9</v>
      </c>
      <c r="D9" s="44" t="s">
        <v>0</v>
      </c>
      <c r="E9" s="44" t="s">
        <v>0</v>
      </c>
      <c r="F9" s="114" t="s">
        <v>2</v>
      </c>
      <c r="G9" s="114" t="s">
        <v>0</v>
      </c>
      <c r="H9" s="114"/>
      <c r="I9" s="114" t="s">
        <v>467</v>
      </c>
      <c r="J9" s="45"/>
      <c r="K9" s="117"/>
      <c r="L9" s="117"/>
      <c r="M9" s="117"/>
      <c r="N9" s="106">
        <f>SUM(N10:N11)</f>
        <v>44978.7</v>
      </c>
      <c r="O9" s="106"/>
      <c r="P9" s="106">
        <v>272727</v>
      </c>
      <c r="Q9" s="107">
        <f>N9+O9+P9</f>
        <v>317705.7</v>
      </c>
      <c r="R9" s="37" t="s">
        <v>0</v>
      </c>
    </row>
    <row r="10" spans="1:18" ht="14.25">
      <c r="A10" s="43" t="s">
        <v>0</v>
      </c>
      <c r="B10" s="44" t="s">
        <v>466</v>
      </c>
      <c r="C10" s="44" t="s">
        <v>0</v>
      </c>
      <c r="D10" s="44" t="s">
        <v>465</v>
      </c>
      <c r="E10" s="44" t="s">
        <v>0</v>
      </c>
      <c r="F10" s="114" t="s">
        <v>0</v>
      </c>
      <c r="G10" s="114" t="s">
        <v>26</v>
      </c>
      <c r="H10" s="114">
        <v>1</v>
      </c>
      <c r="I10" s="114" t="s">
        <v>0</v>
      </c>
      <c r="J10" s="45">
        <f>('Phan tich don gia'!G358)/10</f>
        <v>4415.58656</v>
      </c>
      <c r="K10" s="117">
        <v>1.35</v>
      </c>
      <c r="L10" s="117"/>
      <c r="M10" s="117"/>
      <c r="N10" s="45">
        <f>ROUND(J10*K10*H10,1)</f>
        <v>5961</v>
      </c>
      <c r="O10" s="45"/>
      <c r="P10" s="45"/>
      <c r="Q10" s="108">
        <v>0</v>
      </c>
      <c r="R10" s="37" t="s">
        <v>0</v>
      </c>
    </row>
    <row r="11" spans="1:18" ht="14.25">
      <c r="A11" s="43" t="s">
        <v>0</v>
      </c>
      <c r="B11" s="44" t="s">
        <v>464</v>
      </c>
      <c r="C11" s="44" t="s">
        <v>0</v>
      </c>
      <c r="D11" s="44" t="s">
        <v>0</v>
      </c>
      <c r="E11" s="44" t="s">
        <v>431</v>
      </c>
      <c r="F11" s="114" t="s">
        <v>0</v>
      </c>
      <c r="G11" s="114" t="s">
        <v>26</v>
      </c>
      <c r="H11" s="114">
        <v>9</v>
      </c>
      <c r="I11" s="114" t="s">
        <v>0</v>
      </c>
      <c r="J11" s="45">
        <f>('Phan tich don gia'!G363)/10</f>
        <v>3211.33568</v>
      </c>
      <c r="K11" s="117">
        <v>1.35</v>
      </c>
      <c r="L11" s="117"/>
      <c r="M11" s="117"/>
      <c r="N11" s="45">
        <f>ROUND(J11*K11*H11,1)</f>
        <v>39017.7</v>
      </c>
      <c r="O11" s="45"/>
      <c r="P11" s="45"/>
      <c r="Q11" s="108">
        <v>0</v>
      </c>
      <c r="R11" s="37" t="s">
        <v>0</v>
      </c>
    </row>
    <row r="12" spans="1:18" ht="14.25">
      <c r="A12" s="43" t="s">
        <v>383</v>
      </c>
      <c r="B12" s="44" t="s">
        <v>469</v>
      </c>
      <c r="C12" s="44" t="s">
        <v>9</v>
      </c>
      <c r="D12" s="44" t="s">
        <v>0</v>
      </c>
      <c r="E12" s="44" t="s">
        <v>0</v>
      </c>
      <c r="F12" s="114" t="s">
        <v>2</v>
      </c>
      <c r="G12" s="114" t="s">
        <v>0</v>
      </c>
      <c r="H12" s="114"/>
      <c r="I12" s="114" t="s">
        <v>467</v>
      </c>
      <c r="J12" s="45"/>
      <c r="K12" s="117"/>
      <c r="L12" s="117"/>
      <c r="M12" s="117"/>
      <c r="N12" s="106">
        <f>SUM(N13:N14)</f>
        <v>44978.7</v>
      </c>
      <c r="O12" s="106"/>
      <c r="P12" s="106">
        <v>272727</v>
      </c>
      <c r="Q12" s="107">
        <f>N12+O12+P12</f>
        <v>317705.7</v>
      </c>
      <c r="R12" s="37" t="s">
        <v>0</v>
      </c>
    </row>
    <row r="13" spans="1:18" ht="14.25">
      <c r="A13" s="43" t="s">
        <v>0</v>
      </c>
      <c r="B13" s="44" t="s">
        <v>466</v>
      </c>
      <c r="C13" s="44" t="s">
        <v>0</v>
      </c>
      <c r="D13" s="44" t="s">
        <v>465</v>
      </c>
      <c r="E13" s="44" t="s">
        <v>0</v>
      </c>
      <c r="F13" s="114" t="s">
        <v>0</v>
      </c>
      <c r="G13" s="114" t="s">
        <v>26</v>
      </c>
      <c r="H13" s="114">
        <v>1</v>
      </c>
      <c r="I13" s="114" t="s">
        <v>0</v>
      </c>
      <c r="J13" s="45">
        <f>('Phan tich don gia'!G358)/10</f>
        <v>4415.58656</v>
      </c>
      <c r="K13" s="117">
        <v>1.35</v>
      </c>
      <c r="L13" s="117"/>
      <c r="M13" s="117"/>
      <c r="N13" s="45">
        <f>ROUND(J13*K13*H13,1)</f>
        <v>5961</v>
      </c>
      <c r="O13" s="45"/>
      <c r="P13" s="45"/>
      <c r="Q13" s="108">
        <v>0</v>
      </c>
      <c r="R13" s="37" t="s">
        <v>0</v>
      </c>
    </row>
    <row r="14" spans="1:18" ht="14.25">
      <c r="A14" s="43" t="s">
        <v>0</v>
      </c>
      <c r="B14" s="44" t="s">
        <v>464</v>
      </c>
      <c r="C14" s="44" t="s">
        <v>0</v>
      </c>
      <c r="D14" s="44" t="s">
        <v>0</v>
      </c>
      <c r="E14" s="44" t="s">
        <v>431</v>
      </c>
      <c r="F14" s="114" t="s">
        <v>0</v>
      </c>
      <c r="G14" s="114" t="s">
        <v>26</v>
      </c>
      <c r="H14" s="114">
        <v>9</v>
      </c>
      <c r="I14" s="114" t="s">
        <v>0</v>
      </c>
      <c r="J14" s="45">
        <f>('Phan tich don gia'!G363)/10</f>
        <v>3211.33568</v>
      </c>
      <c r="K14" s="117">
        <v>1.35</v>
      </c>
      <c r="L14" s="117"/>
      <c r="M14" s="117"/>
      <c r="N14" s="45">
        <f>ROUND(J14*K14*H14,1)</f>
        <v>39017.7</v>
      </c>
      <c r="O14" s="45"/>
      <c r="P14" s="45"/>
      <c r="Q14" s="108">
        <v>0</v>
      </c>
      <c r="R14" s="37" t="s">
        <v>0</v>
      </c>
    </row>
    <row r="15" spans="1:18" ht="14.25">
      <c r="A15" s="43" t="s">
        <v>353</v>
      </c>
      <c r="B15" s="44" t="s">
        <v>468</v>
      </c>
      <c r="C15" s="44" t="s">
        <v>9</v>
      </c>
      <c r="D15" s="44" t="s">
        <v>0</v>
      </c>
      <c r="E15" s="44" t="s">
        <v>0</v>
      </c>
      <c r="F15" s="114" t="s">
        <v>2</v>
      </c>
      <c r="G15" s="114" t="s">
        <v>0</v>
      </c>
      <c r="H15" s="114"/>
      <c r="I15" s="114" t="s">
        <v>467</v>
      </c>
      <c r="J15" s="45"/>
      <c r="K15" s="117"/>
      <c r="L15" s="117"/>
      <c r="M15" s="117"/>
      <c r="N15" s="106">
        <f>SUM(N16:N17)</f>
        <v>44978.7</v>
      </c>
      <c r="O15" s="106"/>
      <c r="P15" s="106">
        <v>318182</v>
      </c>
      <c r="Q15" s="107">
        <f>N15+O15+P15</f>
        <v>363160.7</v>
      </c>
      <c r="R15" s="37" t="s">
        <v>0</v>
      </c>
    </row>
    <row r="16" spans="1:18" ht="14.25">
      <c r="A16" s="43" t="s">
        <v>0</v>
      </c>
      <c r="B16" s="44" t="s">
        <v>466</v>
      </c>
      <c r="C16" s="44" t="s">
        <v>0</v>
      </c>
      <c r="D16" s="44" t="s">
        <v>465</v>
      </c>
      <c r="E16" s="44" t="s">
        <v>0</v>
      </c>
      <c r="F16" s="114" t="s">
        <v>0</v>
      </c>
      <c r="G16" s="114" t="s">
        <v>26</v>
      </c>
      <c r="H16" s="114">
        <v>1</v>
      </c>
      <c r="I16" s="114" t="s">
        <v>0</v>
      </c>
      <c r="J16" s="45">
        <f>('Phan tich don gia'!G358)/10</f>
        <v>4415.58656</v>
      </c>
      <c r="K16" s="117">
        <v>1.35</v>
      </c>
      <c r="L16" s="117"/>
      <c r="M16" s="117"/>
      <c r="N16" s="45">
        <f>ROUND(J16*K16*H16,1)</f>
        <v>5961</v>
      </c>
      <c r="O16" s="45"/>
      <c r="P16" s="45"/>
      <c r="Q16" s="108">
        <v>0</v>
      </c>
      <c r="R16" s="37" t="s">
        <v>0</v>
      </c>
    </row>
    <row r="17" spans="1:18" ht="14.25">
      <c r="A17" s="43" t="s">
        <v>0</v>
      </c>
      <c r="B17" s="44" t="s">
        <v>464</v>
      </c>
      <c r="C17" s="44" t="s">
        <v>0</v>
      </c>
      <c r="D17" s="44" t="s">
        <v>0</v>
      </c>
      <c r="E17" s="44" t="s">
        <v>431</v>
      </c>
      <c r="F17" s="114" t="s">
        <v>0</v>
      </c>
      <c r="G17" s="114" t="s">
        <v>26</v>
      </c>
      <c r="H17" s="114">
        <v>9</v>
      </c>
      <c r="I17" s="114" t="s">
        <v>0</v>
      </c>
      <c r="J17" s="45">
        <f>('Phan tich don gia'!G363)/10</f>
        <v>3211.33568</v>
      </c>
      <c r="K17" s="117">
        <v>1.35</v>
      </c>
      <c r="L17" s="117"/>
      <c r="M17" s="117"/>
      <c r="N17" s="45">
        <f>ROUND(J17*K17*H17,1)</f>
        <v>39017.7</v>
      </c>
      <c r="O17" s="45"/>
      <c r="P17" s="45"/>
      <c r="Q17" s="108">
        <v>0</v>
      </c>
      <c r="R17" s="37" t="s">
        <v>0</v>
      </c>
    </row>
    <row r="18" spans="1:18" ht="14.25">
      <c r="A18" s="43" t="s">
        <v>382</v>
      </c>
      <c r="B18" s="44" t="s">
        <v>463</v>
      </c>
      <c r="C18" s="44" t="s">
        <v>19</v>
      </c>
      <c r="D18" s="44" t="s">
        <v>0</v>
      </c>
      <c r="E18" s="44" t="s">
        <v>0</v>
      </c>
      <c r="F18" s="114" t="s">
        <v>0</v>
      </c>
      <c r="G18" s="114" t="s">
        <v>0</v>
      </c>
      <c r="H18" s="114"/>
      <c r="I18" s="114" t="s">
        <v>439</v>
      </c>
      <c r="J18" s="45"/>
      <c r="K18" s="117"/>
      <c r="L18" s="117"/>
      <c r="M18" s="117"/>
      <c r="N18" s="106"/>
      <c r="O18" s="106"/>
      <c r="P18" s="106">
        <v>2389335</v>
      </c>
      <c r="Q18" s="107">
        <f aca="true" t="shared" si="0" ref="Q18:Q42">N18+O18+P18</f>
        <v>2389335</v>
      </c>
      <c r="R18" s="37" t="s">
        <v>0</v>
      </c>
    </row>
    <row r="19" spans="1:18" ht="14.25">
      <c r="A19" s="43" t="s">
        <v>351</v>
      </c>
      <c r="B19" s="44" t="s">
        <v>462</v>
      </c>
      <c r="C19" s="44" t="s">
        <v>203</v>
      </c>
      <c r="D19" s="44" t="s">
        <v>0</v>
      </c>
      <c r="E19" s="44" t="s">
        <v>0</v>
      </c>
      <c r="F19" s="114" t="s">
        <v>15</v>
      </c>
      <c r="G19" s="114" t="s">
        <v>0</v>
      </c>
      <c r="H19" s="114"/>
      <c r="I19" s="114" t="s">
        <v>439</v>
      </c>
      <c r="J19" s="45"/>
      <c r="K19" s="117"/>
      <c r="L19" s="117"/>
      <c r="M19" s="117"/>
      <c r="N19" s="106"/>
      <c r="O19" s="106"/>
      <c r="P19" s="106">
        <v>16250000</v>
      </c>
      <c r="Q19" s="107">
        <f t="shared" si="0"/>
        <v>16250000</v>
      </c>
      <c r="R19" s="37" t="s">
        <v>0</v>
      </c>
    </row>
    <row r="20" spans="1:18" ht="14.25">
      <c r="A20" s="43" t="s">
        <v>346</v>
      </c>
      <c r="B20" s="44" t="s">
        <v>461</v>
      </c>
      <c r="C20" s="44" t="s">
        <v>19</v>
      </c>
      <c r="D20" s="44" t="s">
        <v>0</v>
      </c>
      <c r="E20" s="44" t="s">
        <v>0</v>
      </c>
      <c r="F20" s="114" t="s">
        <v>0</v>
      </c>
      <c r="G20" s="114" t="s">
        <v>0</v>
      </c>
      <c r="H20" s="114"/>
      <c r="I20" s="114" t="s">
        <v>439</v>
      </c>
      <c r="J20" s="45"/>
      <c r="K20" s="117"/>
      <c r="L20" s="117"/>
      <c r="M20" s="117"/>
      <c r="N20" s="106"/>
      <c r="O20" s="106"/>
      <c r="P20" s="106">
        <v>288889</v>
      </c>
      <c r="Q20" s="107">
        <f t="shared" si="0"/>
        <v>288889</v>
      </c>
      <c r="R20" s="37" t="s">
        <v>0</v>
      </c>
    </row>
    <row r="21" spans="1:18" ht="14.25">
      <c r="A21" s="43" t="s">
        <v>381</v>
      </c>
      <c r="B21" s="44" t="s">
        <v>460</v>
      </c>
      <c r="C21" s="44" t="s">
        <v>54</v>
      </c>
      <c r="D21" s="44" t="s">
        <v>0</v>
      </c>
      <c r="E21" s="44" t="s">
        <v>0</v>
      </c>
      <c r="F21" s="114" t="s">
        <v>0</v>
      </c>
      <c r="G21" s="114" t="s">
        <v>0</v>
      </c>
      <c r="H21" s="114"/>
      <c r="I21" s="114" t="s">
        <v>439</v>
      </c>
      <c r="J21" s="45"/>
      <c r="K21" s="117"/>
      <c r="L21" s="117"/>
      <c r="M21" s="117"/>
      <c r="N21" s="106"/>
      <c r="O21" s="106"/>
      <c r="P21" s="106">
        <v>1622.5</v>
      </c>
      <c r="Q21" s="107">
        <f t="shared" si="0"/>
        <v>1622.5</v>
      </c>
      <c r="R21" s="37" t="s">
        <v>0</v>
      </c>
    </row>
    <row r="22" spans="1:18" ht="14.25">
      <c r="A22" s="43" t="s">
        <v>374</v>
      </c>
      <c r="B22" s="44" t="s">
        <v>459</v>
      </c>
      <c r="C22" s="44" t="s">
        <v>19</v>
      </c>
      <c r="D22" s="44" t="s">
        <v>0</v>
      </c>
      <c r="E22" s="44" t="s">
        <v>0</v>
      </c>
      <c r="F22" s="114" t="s">
        <v>0</v>
      </c>
      <c r="G22" s="114" t="s">
        <v>0</v>
      </c>
      <c r="H22" s="114"/>
      <c r="I22" s="114" t="s">
        <v>439</v>
      </c>
      <c r="J22" s="45"/>
      <c r="K22" s="117"/>
      <c r="L22" s="117"/>
      <c r="M22" s="117"/>
      <c r="N22" s="106"/>
      <c r="O22" s="106"/>
      <c r="P22" s="106">
        <v>95000</v>
      </c>
      <c r="Q22" s="107">
        <f t="shared" si="0"/>
        <v>95000</v>
      </c>
      <c r="R22" s="37" t="s">
        <v>0</v>
      </c>
    </row>
    <row r="23" spans="1:18" ht="14.25">
      <c r="A23" s="43" t="s">
        <v>379</v>
      </c>
      <c r="B23" s="44" t="s">
        <v>458</v>
      </c>
      <c r="C23" s="44" t="s">
        <v>9</v>
      </c>
      <c r="D23" s="44" t="s">
        <v>0</v>
      </c>
      <c r="E23" s="44" t="s">
        <v>0</v>
      </c>
      <c r="F23" s="114" t="s">
        <v>15</v>
      </c>
      <c r="G23" s="114" t="s">
        <v>0</v>
      </c>
      <c r="H23" s="114"/>
      <c r="I23" s="114" t="s">
        <v>439</v>
      </c>
      <c r="J23" s="45"/>
      <c r="K23" s="117"/>
      <c r="L23" s="117"/>
      <c r="M23" s="117"/>
      <c r="N23" s="106"/>
      <c r="O23" s="106"/>
      <c r="P23" s="106">
        <v>4090909.09</v>
      </c>
      <c r="Q23" s="107">
        <f t="shared" si="0"/>
        <v>4090909.09</v>
      </c>
      <c r="R23" s="37" t="s">
        <v>0</v>
      </c>
    </row>
    <row r="24" spans="1:18" ht="14.25">
      <c r="A24" s="43" t="s">
        <v>378</v>
      </c>
      <c r="B24" s="44" t="s">
        <v>457</v>
      </c>
      <c r="C24" s="44" t="s">
        <v>9</v>
      </c>
      <c r="D24" s="44" t="s">
        <v>0</v>
      </c>
      <c r="E24" s="44" t="s">
        <v>0</v>
      </c>
      <c r="F24" s="114" t="s">
        <v>15</v>
      </c>
      <c r="G24" s="114" t="s">
        <v>0</v>
      </c>
      <c r="H24" s="114"/>
      <c r="I24" s="114" t="s">
        <v>439</v>
      </c>
      <c r="J24" s="45"/>
      <c r="K24" s="117"/>
      <c r="L24" s="117"/>
      <c r="M24" s="117"/>
      <c r="N24" s="106"/>
      <c r="O24" s="106"/>
      <c r="P24" s="106">
        <v>4090909.09</v>
      </c>
      <c r="Q24" s="107">
        <f t="shared" si="0"/>
        <v>4090909.09</v>
      </c>
      <c r="R24" s="37" t="s">
        <v>0</v>
      </c>
    </row>
    <row r="25" spans="1:18" ht="14.25">
      <c r="A25" s="43" t="s">
        <v>377</v>
      </c>
      <c r="B25" s="44" t="s">
        <v>456</v>
      </c>
      <c r="C25" s="44" t="s">
        <v>9</v>
      </c>
      <c r="D25" s="44" t="s">
        <v>0</v>
      </c>
      <c r="E25" s="44" t="s">
        <v>0</v>
      </c>
      <c r="F25" s="114" t="s">
        <v>15</v>
      </c>
      <c r="G25" s="114" t="s">
        <v>0</v>
      </c>
      <c r="H25" s="114"/>
      <c r="I25" s="114" t="s">
        <v>439</v>
      </c>
      <c r="J25" s="45"/>
      <c r="K25" s="117"/>
      <c r="L25" s="117"/>
      <c r="M25" s="117"/>
      <c r="N25" s="106"/>
      <c r="O25" s="106"/>
      <c r="P25" s="106">
        <v>4090909.09</v>
      </c>
      <c r="Q25" s="107">
        <f t="shared" si="0"/>
        <v>4090909.09</v>
      </c>
      <c r="R25" s="37" t="s">
        <v>0</v>
      </c>
    </row>
    <row r="26" spans="1:18" ht="14.25">
      <c r="A26" s="43" t="s">
        <v>372</v>
      </c>
      <c r="B26" s="44" t="s">
        <v>455</v>
      </c>
      <c r="C26" s="44" t="s">
        <v>9</v>
      </c>
      <c r="D26" s="44" t="s">
        <v>0</v>
      </c>
      <c r="E26" s="44" t="s">
        <v>0</v>
      </c>
      <c r="F26" s="114" t="s">
        <v>21</v>
      </c>
      <c r="G26" s="114" t="s">
        <v>0</v>
      </c>
      <c r="H26" s="114"/>
      <c r="I26" s="114" t="s">
        <v>439</v>
      </c>
      <c r="J26" s="45"/>
      <c r="K26" s="117"/>
      <c r="L26" s="117"/>
      <c r="M26" s="117"/>
      <c r="N26" s="106"/>
      <c r="O26" s="106"/>
      <c r="P26" s="106">
        <v>9545.45</v>
      </c>
      <c r="Q26" s="107">
        <f t="shared" si="0"/>
        <v>9545.45</v>
      </c>
      <c r="R26" s="37" t="s">
        <v>0</v>
      </c>
    </row>
    <row r="27" spans="1:18" ht="14.25">
      <c r="A27" s="43" t="s">
        <v>371</v>
      </c>
      <c r="B27" s="44" t="s">
        <v>454</v>
      </c>
      <c r="C27" s="44" t="s">
        <v>175</v>
      </c>
      <c r="D27" s="44" t="s">
        <v>0</v>
      </c>
      <c r="E27" s="44" t="s">
        <v>0</v>
      </c>
      <c r="F27" s="114" t="s">
        <v>0</v>
      </c>
      <c r="G27" s="114" t="s">
        <v>0</v>
      </c>
      <c r="H27" s="114"/>
      <c r="I27" s="114" t="s">
        <v>439</v>
      </c>
      <c r="J27" s="45"/>
      <c r="K27" s="117"/>
      <c r="L27" s="117"/>
      <c r="M27" s="117"/>
      <c r="N27" s="106"/>
      <c r="O27" s="106"/>
      <c r="P27" s="106">
        <v>2121800</v>
      </c>
      <c r="Q27" s="107">
        <f t="shared" si="0"/>
        <v>2121800</v>
      </c>
      <c r="R27" s="37" t="s">
        <v>0</v>
      </c>
    </row>
    <row r="28" spans="1:18" ht="14.25">
      <c r="A28" s="43" t="s">
        <v>376</v>
      </c>
      <c r="B28" s="44" t="s">
        <v>453</v>
      </c>
      <c r="C28" s="44" t="s">
        <v>203</v>
      </c>
      <c r="D28" s="44" t="s">
        <v>0</v>
      </c>
      <c r="E28" s="44" t="s">
        <v>0</v>
      </c>
      <c r="F28" s="114" t="s">
        <v>0</v>
      </c>
      <c r="G28" s="114" t="s">
        <v>0</v>
      </c>
      <c r="H28" s="114"/>
      <c r="I28" s="114" t="s">
        <v>439</v>
      </c>
      <c r="J28" s="45"/>
      <c r="K28" s="117"/>
      <c r="L28" s="117"/>
      <c r="M28" s="117"/>
      <c r="N28" s="106"/>
      <c r="O28" s="106"/>
      <c r="P28" s="106">
        <v>87812037</v>
      </c>
      <c r="Q28" s="107">
        <f t="shared" si="0"/>
        <v>87812037</v>
      </c>
      <c r="R28" s="37" t="s">
        <v>0</v>
      </c>
    </row>
    <row r="29" spans="1:18" ht="14.25">
      <c r="A29" s="43" t="s">
        <v>345</v>
      </c>
      <c r="B29" s="44" t="s">
        <v>452</v>
      </c>
      <c r="C29" s="44" t="s">
        <v>65</v>
      </c>
      <c r="D29" s="44" t="s">
        <v>0</v>
      </c>
      <c r="E29" s="44" t="s">
        <v>0</v>
      </c>
      <c r="F29" s="114" t="s">
        <v>0</v>
      </c>
      <c r="G29" s="114" t="s">
        <v>0</v>
      </c>
      <c r="H29" s="114"/>
      <c r="I29" s="114" t="s">
        <v>439</v>
      </c>
      <c r="J29" s="45"/>
      <c r="K29" s="117"/>
      <c r="L29" s="117"/>
      <c r="M29" s="117"/>
      <c r="N29" s="106"/>
      <c r="O29" s="106"/>
      <c r="P29" s="106">
        <v>191077.8</v>
      </c>
      <c r="Q29" s="107">
        <f t="shared" si="0"/>
        <v>191077.8</v>
      </c>
      <c r="R29" s="37" t="s">
        <v>0</v>
      </c>
    </row>
    <row r="30" spans="1:18" ht="14.25">
      <c r="A30" s="43" t="s">
        <v>375</v>
      </c>
      <c r="B30" s="44" t="s">
        <v>451</v>
      </c>
      <c r="C30" s="44" t="s">
        <v>65</v>
      </c>
      <c r="D30" s="44" t="s">
        <v>0</v>
      </c>
      <c r="E30" s="44" t="s">
        <v>0</v>
      </c>
      <c r="F30" s="114" t="s">
        <v>0</v>
      </c>
      <c r="G30" s="114" t="s">
        <v>0</v>
      </c>
      <c r="H30" s="114"/>
      <c r="I30" s="114" t="s">
        <v>439</v>
      </c>
      <c r="J30" s="45"/>
      <c r="K30" s="117"/>
      <c r="L30" s="117"/>
      <c r="M30" s="117"/>
      <c r="N30" s="106"/>
      <c r="O30" s="106"/>
      <c r="P30" s="106">
        <v>136597.2</v>
      </c>
      <c r="Q30" s="107">
        <f t="shared" si="0"/>
        <v>136597.2</v>
      </c>
      <c r="R30" s="37" t="s">
        <v>0</v>
      </c>
    </row>
    <row r="31" spans="1:18" ht="14.25">
      <c r="A31" s="43" t="s">
        <v>360</v>
      </c>
      <c r="B31" s="44" t="s">
        <v>450</v>
      </c>
      <c r="C31" s="44" t="s">
        <v>203</v>
      </c>
      <c r="D31" s="44" t="s">
        <v>0</v>
      </c>
      <c r="E31" s="44" t="s">
        <v>0</v>
      </c>
      <c r="F31" s="114" t="s">
        <v>0</v>
      </c>
      <c r="G31" s="114" t="s">
        <v>0</v>
      </c>
      <c r="H31" s="114"/>
      <c r="I31" s="114" t="s">
        <v>439</v>
      </c>
      <c r="J31" s="45"/>
      <c r="K31" s="117"/>
      <c r="L31" s="117"/>
      <c r="M31" s="117"/>
      <c r="N31" s="106"/>
      <c r="O31" s="106"/>
      <c r="P31" s="106">
        <v>158249074.1</v>
      </c>
      <c r="Q31" s="107">
        <f t="shared" si="0"/>
        <v>158249074.1</v>
      </c>
      <c r="R31" s="37" t="s">
        <v>0</v>
      </c>
    </row>
    <row r="32" spans="1:18" ht="14.25">
      <c r="A32" s="43" t="s">
        <v>373</v>
      </c>
      <c r="B32" s="44" t="s">
        <v>449</v>
      </c>
      <c r="C32" s="44" t="s">
        <v>65</v>
      </c>
      <c r="D32" s="44" t="s">
        <v>0</v>
      </c>
      <c r="E32" s="44" t="s">
        <v>0</v>
      </c>
      <c r="F32" s="114" t="s">
        <v>0</v>
      </c>
      <c r="G32" s="114" t="s">
        <v>0</v>
      </c>
      <c r="H32" s="114"/>
      <c r="I32" s="114" t="s">
        <v>439</v>
      </c>
      <c r="J32" s="45"/>
      <c r="K32" s="117"/>
      <c r="L32" s="117"/>
      <c r="M32" s="117"/>
      <c r="N32" s="106"/>
      <c r="O32" s="106"/>
      <c r="P32" s="106">
        <v>208100</v>
      </c>
      <c r="Q32" s="107">
        <f t="shared" si="0"/>
        <v>208100</v>
      </c>
      <c r="R32" s="37" t="s">
        <v>0</v>
      </c>
    </row>
    <row r="33" spans="1:18" ht="14.25">
      <c r="A33" s="43" t="s">
        <v>370</v>
      </c>
      <c r="B33" s="44" t="s">
        <v>448</v>
      </c>
      <c r="C33" s="44" t="s">
        <v>65</v>
      </c>
      <c r="D33" s="44" t="s">
        <v>0</v>
      </c>
      <c r="E33" s="44" t="s">
        <v>0</v>
      </c>
      <c r="F33" s="114" t="s">
        <v>0</v>
      </c>
      <c r="G33" s="114" t="s">
        <v>0</v>
      </c>
      <c r="H33" s="114"/>
      <c r="I33" s="114" t="s">
        <v>439</v>
      </c>
      <c r="J33" s="45"/>
      <c r="K33" s="117"/>
      <c r="L33" s="117"/>
      <c r="M33" s="117"/>
      <c r="N33" s="106"/>
      <c r="O33" s="106"/>
      <c r="P33" s="106">
        <v>120650.9</v>
      </c>
      <c r="Q33" s="107">
        <f t="shared" si="0"/>
        <v>120650.9</v>
      </c>
      <c r="R33" s="37" t="s">
        <v>0</v>
      </c>
    </row>
    <row r="34" spans="1:18" ht="14.25">
      <c r="A34" s="43" t="s">
        <v>368</v>
      </c>
      <c r="B34" s="44" t="s">
        <v>447</v>
      </c>
      <c r="C34" s="44" t="s">
        <v>203</v>
      </c>
      <c r="D34" s="44" t="s">
        <v>0</v>
      </c>
      <c r="E34" s="44" t="s">
        <v>0</v>
      </c>
      <c r="F34" s="114" t="s">
        <v>15</v>
      </c>
      <c r="G34" s="114" t="s">
        <v>0</v>
      </c>
      <c r="H34" s="114"/>
      <c r="I34" s="114" t="s">
        <v>439</v>
      </c>
      <c r="J34" s="45"/>
      <c r="K34" s="117"/>
      <c r="L34" s="117"/>
      <c r="M34" s="117"/>
      <c r="N34" s="106"/>
      <c r="O34" s="106"/>
      <c r="P34" s="106">
        <v>16250000</v>
      </c>
      <c r="Q34" s="107">
        <f t="shared" si="0"/>
        <v>16250000</v>
      </c>
      <c r="R34" s="37" t="s">
        <v>0</v>
      </c>
    </row>
    <row r="35" spans="1:18" ht="14.25">
      <c r="A35" s="43" t="s">
        <v>367</v>
      </c>
      <c r="B35" s="44" t="s">
        <v>446</v>
      </c>
      <c r="C35" s="44" t="s">
        <v>19</v>
      </c>
      <c r="D35" s="44" t="s">
        <v>0</v>
      </c>
      <c r="E35" s="44" t="s">
        <v>0</v>
      </c>
      <c r="F35" s="114" t="s">
        <v>0</v>
      </c>
      <c r="G35" s="114" t="s">
        <v>0</v>
      </c>
      <c r="H35" s="114"/>
      <c r="I35" s="114" t="s">
        <v>439</v>
      </c>
      <c r="J35" s="45"/>
      <c r="K35" s="117"/>
      <c r="L35" s="117"/>
      <c r="M35" s="117"/>
      <c r="N35" s="106"/>
      <c r="O35" s="106"/>
      <c r="P35" s="106">
        <v>180000</v>
      </c>
      <c r="Q35" s="107">
        <f t="shared" si="0"/>
        <v>180000</v>
      </c>
      <c r="R35" s="37" t="s">
        <v>0</v>
      </c>
    </row>
    <row r="36" spans="1:18" ht="14.25">
      <c r="A36" s="43" t="s">
        <v>366</v>
      </c>
      <c r="B36" s="44" t="s">
        <v>445</v>
      </c>
      <c r="C36" s="44" t="s">
        <v>203</v>
      </c>
      <c r="D36" s="44" t="s">
        <v>0</v>
      </c>
      <c r="E36" s="44" t="s">
        <v>0</v>
      </c>
      <c r="F36" s="114" t="s">
        <v>0</v>
      </c>
      <c r="G36" s="114" t="s">
        <v>0</v>
      </c>
      <c r="H36" s="114"/>
      <c r="I36" s="114" t="s">
        <v>439</v>
      </c>
      <c r="J36" s="45"/>
      <c r="K36" s="117"/>
      <c r="L36" s="117"/>
      <c r="M36" s="117"/>
      <c r="N36" s="106"/>
      <c r="O36" s="106"/>
      <c r="P36" s="106">
        <v>1613636</v>
      </c>
      <c r="Q36" s="107">
        <f t="shared" si="0"/>
        <v>1613636</v>
      </c>
      <c r="R36" s="37" t="s">
        <v>0</v>
      </c>
    </row>
    <row r="37" spans="1:18" ht="14.25">
      <c r="A37" s="43" t="s">
        <v>365</v>
      </c>
      <c r="B37" s="44" t="s">
        <v>444</v>
      </c>
      <c r="C37" s="44" t="s">
        <v>203</v>
      </c>
      <c r="D37" s="44" t="s">
        <v>0</v>
      </c>
      <c r="E37" s="44" t="s">
        <v>0</v>
      </c>
      <c r="F37" s="114" t="s">
        <v>21</v>
      </c>
      <c r="G37" s="114" t="s">
        <v>0</v>
      </c>
      <c r="H37" s="114"/>
      <c r="I37" s="114" t="s">
        <v>439</v>
      </c>
      <c r="J37" s="45"/>
      <c r="K37" s="117"/>
      <c r="L37" s="117"/>
      <c r="M37" s="117"/>
      <c r="N37" s="106"/>
      <c r="O37" s="106"/>
      <c r="P37" s="106">
        <v>1677273</v>
      </c>
      <c r="Q37" s="107">
        <f t="shared" si="0"/>
        <v>1677273</v>
      </c>
      <c r="R37" s="37" t="s">
        <v>0</v>
      </c>
    </row>
    <row r="38" spans="1:18" ht="14.25">
      <c r="A38" s="43" t="s">
        <v>363</v>
      </c>
      <c r="B38" s="44" t="s">
        <v>443</v>
      </c>
      <c r="C38" s="44" t="s">
        <v>203</v>
      </c>
      <c r="D38" s="44" t="s">
        <v>0</v>
      </c>
      <c r="E38" s="44" t="s">
        <v>0</v>
      </c>
      <c r="F38" s="114" t="s">
        <v>0</v>
      </c>
      <c r="G38" s="114" t="s">
        <v>0</v>
      </c>
      <c r="H38" s="114"/>
      <c r="I38" s="114" t="s">
        <v>439</v>
      </c>
      <c r="J38" s="45"/>
      <c r="K38" s="117"/>
      <c r="L38" s="117"/>
      <c r="M38" s="117"/>
      <c r="N38" s="106"/>
      <c r="O38" s="106"/>
      <c r="P38" s="106">
        <v>1613636</v>
      </c>
      <c r="Q38" s="107">
        <f t="shared" si="0"/>
        <v>1613636</v>
      </c>
      <c r="R38" s="37" t="s">
        <v>0</v>
      </c>
    </row>
    <row r="39" spans="1:18" ht="14.25">
      <c r="A39" s="43" t="s">
        <v>362</v>
      </c>
      <c r="B39" s="44" t="s">
        <v>442</v>
      </c>
      <c r="C39" s="44" t="s">
        <v>203</v>
      </c>
      <c r="D39" s="44" t="s">
        <v>0</v>
      </c>
      <c r="E39" s="44" t="s">
        <v>0</v>
      </c>
      <c r="F39" s="114" t="s">
        <v>0</v>
      </c>
      <c r="G39" s="114" t="s">
        <v>0</v>
      </c>
      <c r="H39" s="114"/>
      <c r="I39" s="114" t="s">
        <v>439</v>
      </c>
      <c r="J39" s="45"/>
      <c r="K39" s="117"/>
      <c r="L39" s="117"/>
      <c r="M39" s="117"/>
      <c r="N39" s="106"/>
      <c r="O39" s="106"/>
      <c r="P39" s="106">
        <v>1677273</v>
      </c>
      <c r="Q39" s="107">
        <f t="shared" si="0"/>
        <v>1677273</v>
      </c>
      <c r="R39" s="37" t="s">
        <v>0</v>
      </c>
    </row>
    <row r="40" spans="1:18" ht="14.25">
      <c r="A40" s="43" t="s">
        <v>361</v>
      </c>
      <c r="B40" s="44" t="s">
        <v>441</v>
      </c>
      <c r="C40" s="44" t="s">
        <v>203</v>
      </c>
      <c r="D40" s="44" t="s">
        <v>0</v>
      </c>
      <c r="E40" s="44" t="s">
        <v>0</v>
      </c>
      <c r="F40" s="114" t="s">
        <v>21</v>
      </c>
      <c r="G40" s="114" t="s">
        <v>0</v>
      </c>
      <c r="H40" s="114"/>
      <c r="I40" s="114" t="s">
        <v>439</v>
      </c>
      <c r="J40" s="45"/>
      <c r="K40" s="117"/>
      <c r="L40" s="117"/>
      <c r="M40" s="117"/>
      <c r="N40" s="106"/>
      <c r="O40" s="106"/>
      <c r="P40" s="106">
        <v>4545000</v>
      </c>
      <c r="Q40" s="107">
        <f t="shared" si="0"/>
        <v>4545000</v>
      </c>
      <c r="R40" s="37" t="s">
        <v>0</v>
      </c>
    </row>
    <row r="41" spans="1:18" ht="14.25">
      <c r="A41" s="43" t="s">
        <v>359</v>
      </c>
      <c r="B41" s="44" t="s">
        <v>440</v>
      </c>
      <c r="C41" s="44" t="s">
        <v>203</v>
      </c>
      <c r="D41" s="44" t="s">
        <v>0</v>
      </c>
      <c r="E41" s="44" t="s">
        <v>0</v>
      </c>
      <c r="F41" s="114" t="s">
        <v>15</v>
      </c>
      <c r="G41" s="114" t="s">
        <v>0</v>
      </c>
      <c r="H41" s="114"/>
      <c r="I41" s="114" t="s">
        <v>439</v>
      </c>
      <c r="J41" s="45"/>
      <c r="K41" s="117"/>
      <c r="L41" s="117"/>
      <c r="M41" s="117"/>
      <c r="N41" s="106"/>
      <c r="O41" s="106"/>
      <c r="P41" s="106">
        <v>16250000</v>
      </c>
      <c r="Q41" s="107">
        <f t="shared" si="0"/>
        <v>16250000</v>
      </c>
      <c r="R41" s="37" t="s">
        <v>0</v>
      </c>
    </row>
    <row r="42" spans="1:18" ht="14.25">
      <c r="A42" s="43" t="s">
        <v>358</v>
      </c>
      <c r="B42" s="44" t="s">
        <v>438</v>
      </c>
      <c r="C42" s="44" t="s">
        <v>9</v>
      </c>
      <c r="D42" s="44" t="s">
        <v>0</v>
      </c>
      <c r="E42" s="44" t="s">
        <v>0</v>
      </c>
      <c r="F42" s="114" t="s">
        <v>2</v>
      </c>
      <c r="G42" s="114" t="s">
        <v>0</v>
      </c>
      <c r="H42" s="114"/>
      <c r="I42" s="114" t="s">
        <v>436</v>
      </c>
      <c r="J42" s="45"/>
      <c r="K42" s="117"/>
      <c r="L42" s="117"/>
      <c r="M42" s="117"/>
      <c r="N42" s="106">
        <f>SUM(N43:N45)</f>
        <v>60672.3</v>
      </c>
      <c r="O42" s="106"/>
      <c r="P42" s="106">
        <v>290909</v>
      </c>
      <c r="Q42" s="107">
        <f t="shared" si="0"/>
        <v>351581.3</v>
      </c>
      <c r="R42" s="37" t="s">
        <v>0</v>
      </c>
    </row>
    <row r="43" spans="1:18" ht="14.25">
      <c r="A43" s="43" t="s">
        <v>0</v>
      </c>
      <c r="B43" s="44" t="s">
        <v>435</v>
      </c>
      <c r="C43" s="44" t="s">
        <v>0</v>
      </c>
      <c r="D43" s="44" t="s">
        <v>434</v>
      </c>
      <c r="E43" s="44" t="s">
        <v>0</v>
      </c>
      <c r="F43" s="114" t="s">
        <v>0</v>
      </c>
      <c r="G43" s="114" t="s">
        <v>26</v>
      </c>
      <c r="H43" s="114">
        <v>1</v>
      </c>
      <c r="I43" s="114" t="s">
        <v>0</v>
      </c>
      <c r="J43" s="45">
        <f>('Phan tich don gia'!G346)/10</f>
        <v>4777.34598</v>
      </c>
      <c r="K43" s="117">
        <v>1.35</v>
      </c>
      <c r="L43" s="117"/>
      <c r="M43" s="117"/>
      <c r="N43" s="45">
        <f>ROUND(J43*K43*H43,1)</f>
        <v>6449.4</v>
      </c>
      <c r="O43" s="45"/>
      <c r="P43" s="45"/>
      <c r="Q43" s="108">
        <v>0</v>
      </c>
      <c r="R43" s="37" t="s">
        <v>0</v>
      </c>
    </row>
    <row r="44" spans="1:18" ht="14.25">
      <c r="A44" s="43" t="s">
        <v>0</v>
      </c>
      <c r="B44" s="44" t="s">
        <v>433</v>
      </c>
      <c r="C44" s="44" t="s">
        <v>0</v>
      </c>
      <c r="D44" s="44" t="s">
        <v>0</v>
      </c>
      <c r="E44" s="44" t="s">
        <v>0</v>
      </c>
      <c r="F44" s="114" t="s">
        <v>0</v>
      </c>
      <c r="G44" s="114" t="s">
        <v>26</v>
      </c>
      <c r="H44" s="114">
        <v>9</v>
      </c>
      <c r="I44" s="114" t="s">
        <v>0</v>
      </c>
      <c r="J44" s="45">
        <f>('Phan tich don gia'!G350)/10</f>
        <v>3361.83606</v>
      </c>
      <c r="K44" s="117">
        <v>1.35</v>
      </c>
      <c r="L44" s="117"/>
      <c r="M44" s="117"/>
      <c r="N44" s="45">
        <f>ROUND(J44*K44*H44,1)</f>
        <v>40846.3</v>
      </c>
      <c r="O44" s="45"/>
      <c r="P44" s="45"/>
      <c r="Q44" s="108">
        <v>0</v>
      </c>
      <c r="R44" s="37" t="s">
        <v>0</v>
      </c>
    </row>
    <row r="45" spans="1:18" ht="14.25">
      <c r="A45" s="43" t="s">
        <v>0</v>
      </c>
      <c r="B45" s="44" t="s">
        <v>432</v>
      </c>
      <c r="C45" s="44" t="s">
        <v>0</v>
      </c>
      <c r="D45" s="44" t="s">
        <v>0</v>
      </c>
      <c r="E45" s="44" t="s">
        <v>431</v>
      </c>
      <c r="F45" s="114" t="s">
        <v>0</v>
      </c>
      <c r="G45" s="114" t="s">
        <v>26</v>
      </c>
      <c r="H45" s="114">
        <v>4</v>
      </c>
      <c r="I45" s="114" t="s">
        <v>0</v>
      </c>
      <c r="J45" s="45">
        <f>('Phan tich don gia'!G354)/10</f>
        <v>2477.14236</v>
      </c>
      <c r="K45" s="117">
        <v>1.35</v>
      </c>
      <c r="L45" s="117"/>
      <c r="M45" s="117"/>
      <c r="N45" s="45">
        <f>ROUND(J45*K45*H45,1)</f>
        <v>13376.6</v>
      </c>
      <c r="O45" s="45"/>
      <c r="P45" s="45"/>
      <c r="Q45" s="108">
        <v>0</v>
      </c>
      <c r="R45" s="37" t="s">
        <v>0</v>
      </c>
    </row>
    <row r="46" spans="1:18" ht="14.25">
      <c r="A46" s="43" t="s">
        <v>357</v>
      </c>
      <c r="B46" s="44" t="s">
        <v>437</v>
      </c>
      <c r="C46" s="44" t="s">
        <v>9</v>
      </c>
      <c r="D46" s="44" t="s">
        <v>0</v>
      </c>
      <c r="E46" s="44" t="s">
        <v>0</v>
      </c>
      <c r="F46" s="114" t="s">
        <v>2</v>
      </c>
      <c r="G46" s="114" t="s">
        <v>0</v>
      </c>
      <c r="H46" s="114"/>
      <c r="I46" s="114" t="s">
        <v>436</v>
      </c>
      <c r="J46" s="45"/>
      <c r="K46" s="117"/>
      <c r="L46" s="117"/>
      <c r="M46" s="117"/>
      <c r="N46" s="106">
        <f>SUM(N47:N49)</f>
        <v>60672.3</v>
      </c>
      <c r="O46" s="106"/>
      <c r="P46" s="106">
        <v>227273</v>
      </c>
      <c r="Q46" s="107">
        <f>N46+O46+P46</f>
        <v>287945.3</v>
      </c>
      <c r="R46" s="37" t="s">
        <v>0</v>
      </c>
    </row>
    <row r="47" spans="1:18" ht="14.25">
      <c r="A47" s="43" t="s">
        <v>0</v>
      </c>
      <c r="B47" s="44" t="s">
        <v>435</v>
      </c>
      <c r="C47" s="44" t="s">
        <v>0</v>
      </c>
      <c r="D47" s="44" t="s">
        <v>434</v>
      </c>
      <c r="E47" s="44" t="s">
        <v>0</v>
      </c>
      <c r="F47" s="114" t="s">
        <v>0</v>
      </c>
      <c r="G47" s="114" t="s">
        <v>26</v>
      </c>
      <c r="H47" s="114">
        <v>1</v>
      </c>
      <c r="I47" s="114" t="s">
        <v>0</v>
      </c>
      <c r="J47" s="45">
        <f>('Phan tich don gia'!G346)/10</f>
        <v>4777.34598</v>
      </c>
      <c r="K47" s="117">
        <v>1.35</v>
      </c>
      <c r="L47" s="117"/>
      <c r="M47" s="117"/>
      <c r="N47" s="45">
        <f>ROUND(J47*K47*H47,1)</f>
        <v>6449.4</v>
      </c>
      <c r="O47" s="45"/>
      <c r="P47" s="45"/>
      <c r="Q47" s="108">
        <v>0</v>
      </c>
      <c r="R47" s="37" t="s">
        <v>0</v>
      </c>
    </row>
    <row r="48" spans="1:18" ht="14.25">
      <c r="A48" s="43" t="s">
        <v>0</v>
      </c>
      <c r="B48" s="44" t="s">
        <v>433</v>
      </c>
      <c r="C48" s="44" t="s">
        <v>0</v>
      </c>
      <c r="D48" s="44" t="s">
        <v>0</v>
      </c>
      <c r="E48" s="44" t="s">
        <v>0</v>
      </c>
      <c r="F48" s="114" t="s">
        <v>0</v>
      </c>
      <c r="G48" s="114" t="s">
        <v>26</v>
      </c>
      <c r="H48" s="114">
        <v>9</v>
      </c>
      <c r="I48" s="114" t="s">
        <v>0</v>
      </c>
      <c r="J48" s="45">
        <f>('Phan tich don gia'!G350)/10</f>
        <v>3361.83606</v>
      </c>
      <c r="K48" s="117">
        <v>1.35</v>
      </c>
      <c r="L48" s="117"/>
      <c r="M48" s="117"/>
      <c r="N48" s="45">
        <f>ROUND(J48*K48*H48,1)</f>
        <v>40846.3</v>
      </c>
      <c r="O48" s="45"/>
      <c r="P48" s="45"/>
      <c r="Q48" s="108">
        <v>0</v>
      </c>
      <c r="R48" s="37" t="s">
        <v>0</v>
      </c>
    </row>
    <row r="49" spans="1:18" ht="15" thickBot="1">
      <c r="A49" s="109" t="s">
        <v>0</v>
      </c>
      <c r="B49" s="110" t="s">
        <v>432</v>
      </c>
      <c r="C49" s="110" t="s">
        <v>0</v>
      </c>
      <c r="D49" s="110" t="s">
        <v>0</v>
      </c>
      <c r="E49" s="110" t="s">
        <v>431</v>
      </c>
      <c r="F49" s="115" t="s">
        <v>0</v>
      </c>
      <c r="G49" s="115" t="s">
        <v>26</v>
      </c>
      <c r="H49" s="115">
        <v>4</v>
      </c>
      <c r="I49" s="115" t="s">
        <v>0</v>
      </c>
      <c r="J49" s="111">
        <f>('Phan tich don gia'!G354)/10</f>
        <v>2477.14236</v>
      </c>
      <c r="K49" s="118">
        <v>1.35</v>
      </c>
      <c r="L49" s="118"/>
      <c r="M49" s="118"/>
      <c r="N49" s="111">
        <f>ROUND(J49*K49*H49,1)</f>
        <v>13376.6</v>
      </c>
      <c r="O49" s="111"/>
      <c r="P49" s="111"/>
      <c r="Q49" s="112">
        <v>0</v>
      </c>
      <c r="R49" s="37" t="s">
        <v>0</v>
      </c>
    </row>
  </sheetData>
  <sheetProtection/>
  <mergeCells count="4">
    <mergeCell ref="A1:Q1"/>
    <mergeCell ref="A3:Q3"/>
    <mergeCell ref="A4:Q4"/>
    <mergeCell ref="A5:Q5"/>
  </mergeCells>
  <printOptions horizontalCentered="1"/>
  <pageMargins left="0.5" right="0.2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showZeros="0" zoomScalePageLayoutView="0" workbookViewId="0" topLeftCell="A1">
      <selection activeCell="A1" sqref="A1:K1"/>
    </sheetView>
  </sheetViews>
  <sheetFormatPr defaultColWidth="8.796875" defaultRowHeight="15"/>
  <cols>
    <col min="1" max="1" width="3.59765625" style="37" customWidth="1"/>
    <col min="2" max="2" width="7.59765625" style="37" customWidth="1"/>
    <col min="3" max="3" width="25.59765625" style="37" customWidth="1"/>
    <col min="4" max="4" width="4.69921875" style="37" customWidth="1"/>
    <col min="5" max="5" width="7.09765625" style="137" customWidth="1"/>
    <col min="6" max="8" width="6.09765625" style="102" customWidth="1"/>
    <col min="9" max="9" width="6.59765625" style="102" customWidth="1"/>
    <col min="10" max="10" width="60" style="37" hidden="1" customWidth="1"/>
    <col min="11" max="11" width="9.59765625" style="51" customWidth="1"/>
    <col min="12" max="16384" width="9" style="37" customWidth="1"/>
  </cols>
  <sheetData>
    <row r="1" spans="1:11" ht="21" customHeight="1">
      <c r="A1" s="262" t="s">
        <v>533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4.25">
      <c r="A2" s="40"/>
      <c r="B2" s="40"/>
      <c r="C2" s="40"/>
      <c r="D2" s="40"/>
      <c r="E2" s="140"/>
      <c r="F2" s="141"/>
      <c r="G2" s="141"/>
      <c r="H2" s="141"/>
      <c r="I2" s="141"/>
      <c r="J2" s="40"/>
      <c r="K2" s="53"/>
    </row>
    <row r="3" spans="1:11" s="25" customFormat="1" ht="16.5" customHeight="1">
      <c r="A3" s="261" t="s">
        <v>478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s="25" customFormat="1" ht="16.5" customHeight="1">
      <c r="A4" s="261" t="s">
        <v>479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1" s="25" customFormat="1" ht="16.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ht="15" thickBot="1">
      <c r="A6" s="40"/>
      <c r="B6" s="40"/>
      <c r="C6" s="40"/>
      <c r="D6" s="40"/>
      <c r="E6" s="140"/>
      <c r="F6" s="141"/>
      <c r="G6" s="141"/>
      <c r="H6" s="141"/>
      <c r="I6" s="141"/>
      <c r="J6" s="40"/>
      <c r="K6" s="53"/>
    </row>
    <row r="7" spans="1:11" ht="45" customHeight="1">
      <c r="A7" s="131" t="s">
        <v>302</v>
      </c>
      <c r="B7" s="133" t="s">
        <v>488</v>
      </c>
      <c r="C7" s="132" t="s">
        <v>489</v>
      </c>
      <c r="D7" s="133" t="s">
        <v>498</v>
      </c>
      <c r="E7" s="142" t="s">
        <v>534</v>
      </c>
      <c r="F7" s="143" t="s">
        <v>535</v>
      </c>
      <c r="G7" s="143" t="s">
        <v>536</v>
      </c>
      <c r="H7" s="143" t="s">
        <v>537</v>
      </c>
      <c r="I7" s="143" t="s">
        <v>538</v>
      </c>
      <c r="J7" s="132" t="s">
        <v>539</v>
      </c>
      <c r="K7" s="144" t="s">
        <v>540</v>
      </c>
    </row>
    <row r="8" spans="1:11" ht="15" thickBot="1">
      <c r="A8" s="103" t="s">
        <v>0</v>
      </c>
      <c r="B8" s="104" t="s">
        <v>0</v>
      </c>
      <c r="C8" s="104" t="s">
        <v>0</v>
      </c>
      <c r="D8" s="104" t="s">
        <v>0</v>
      </c>
      <c r="E8" s="138" t="s">
        <v>0</v>
      </c>
      <c r="F8" s="105">
        <v>0</v>
      </c>
      <c r="G8" s="105">
        <v>0</v>
      </c>
      <c r="H8" s="105">
        <v>0</v>
      </c>
      <c r="I8" s="105">
        <v>0</v>
      </c>
      <c r="J8" s="104" t="s">
        <v>0</v>
      </c>
      <c r="K8" s="139"/>
    </row>
  </sheetData>
  <sheetProtection/>
  <mergeCells count="4">
    <mergeCell ref="A1:K1"/>
    <mergeCell ref="A3:K3"/>
    <mergeCell ref="A4:K4"/>
    <mergeCell ref="A5:K5"/>
  </mergeCells>
  <printOptions horizontalCentered="1"/>
  <pageMargins left="0.6" right="0.4" top="0.75" bottom="0.7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8"/>
  <sheetViews>
    <sheetView showZeros="0" zoomScalePageLayoutView="0" workbookViewId="0" topLeftCell="A1">
      <selection activeCell="A1" sqref="A1:F1"/>
    </sheetView>
  </sheetViews>
  <sheetFormatPr defaultColWidth="8.796875" defaultRowHeight="15"/>
  <cols>
    <col min="1" max="1" width="4.3984375" style="6" customWidth="1"/>
    <col min="2" max="2" width="32.69921875" style="6" customWidth="1"/>
    <col min="3" max="3" width="5.59765625" style="6" customWidth="1"/>
    <col min="4" max="4" width="12" style="145" customWidth="1"/>
    <col min="5" max="5" width="12.5" style="145" customWidth="1"/>
    <col min="6" max="6" width="15.59765625" style="145" customWidth="1"/>
    <col min="7" max="16384" width="9" style="6" customWidth="1"/>
  </cols>
  <sheetData>
    <row r="1" spans="1:6" ht="21">
      <c r="A1" s="262" t="s">
        <v>541</v>
      </c>
      <c r="B1" s="262"/>
      <c r="C1" s="262"/>
      <c r="D1" s="262"/>
      <c r="E1" s="262"/>
      <c r="F1" s="262"/>
    </row>
    <row r="2" spans="1:6" ht="15.75">
      <c r="A2" s="2"/>
      <c r="B2" s="2"/>
      <c r="C2" s="2"/>
      <c r="D2" s="5"/>
      <c r="E2" s="5"/>
      <c r="F2" s="5"/>
    </row>
    <row r="3" spans="1:6" s="25" customFormat="1" ht="16.5">
      <c r="A3" s="261" t="s">
        <v>478</v>
      </c>
      <c r="B3" s="261"/>
      <c r="C3" s="261"/>
      <c r="D3" s="261"/>
      <c r="E3" s="261"/>
      <c r="F3" s="261"/>
    </row>
    <row r="4" spans="1:6" s="25" customFormat="1" ht="16.5">
      <c r="A4" s="261" t="s">
        <v>479</v>
      </c>
      <c r="B4" s="261"/>
      <c r="C4" s="261"/>
      <c r="D4" s="261"/>
      <c r="E4" s="261"/>
      <c r="F4" s="261"/>
    </row>
    <row r="5" spans="1:6" s="25" customFormat="1" ht="16.5">
      <c r="A5" s="261"/>
      <c r="B5" s="261"/>
      <c r="C5" s="261"/>
      <c r="D5" s="261"/>
      <c r="E5" s="261"/>
      <c r="F5" s="261"/>
    </row>
    <row r="6" spans="1:6" ht="16.5" thickBot="1">
      <c r="A6" s="2"/>
      <c r="B6" s="2"/>
      <c r="C6" s="2"/>
      <c r="D6" s="5"/>
      <c r="E6" s="5"/>
      <c r="F6" s="5"/>
    </row>
    <row r="7" spans="1:6" ht="45" customHeight="1">
      <c r="A7" s="22" t="s">
        <v>302</v>
      </c>
      <c r="B7" s="23" t="s">
        <v>542</v>
      </c>
      <c r="C7" s="24" t="s">
        <v>498</v>
      </c>
      <c r="D7" s="154" t="s">
        <v>543</v>
      </c>
      <c r="E7" s="154" t="s">
        <v>487</v>
      </c>
      <c r="F7" s="155" t="s">
        <v>485</v>
      </c>
    </row>
    <row r="8" spans="1:6" ht="15.75">
      <c r="A8" s="29" t="s">
        <v>0</v>
      </c>
      <c r="B8" s="30" t="s">
        <v>1</v>
      </c>
      <c r="C8" s="30" t="s">
        <v>0</v>
      </c>
      <c r="D8" s="152">
        <f>SUMIF('Phan tich KL VL,NC,M'!C$8:C$73,B8,'Phan tich KL VL,NC,M'!G$8:G$73)</f>
        <v>0</v>
      </c>
      <c r="E8" s="152">
        <v>0</v>
      </c>
      <c r="F8" s="153"/>
    </row>
    <row r="9" spans="1:6" ht="15">
      <c r="A9" s="8" t="s">
        <v>0</v>
      </c>
      <c r="B9" s="9" t="s">
        <v>0</v>
      </c>
      <c r="C9" s="9" t="s">
        <v>0</v>
      </c>
      <c r="D9" s="148">
        <f>SUMIF('Phan tich KL VL,NC,M'!C$8:C$73,B9,'Phan tich KL VL,NC,M'!G$8:G$73)</f>
        <v>0</v>
      </c>
      <c r="E9" s="148">
        <v>0</v>
      </c>
      <c r="F9" s="149"/>
    </row>
    <row r="10" spans="1:6" ht="15.75">
      <c r="A10" s="26" t="s">
        <v>0</v>
      </c>
      <c r="B10" s="27" t="s">
        <v>474</v>
      </c>
      <c r="C10" s="27" t="s">
        <v>0</v>
      </c>
      <c r="D10" s="146">
        <f>SUMIF('Phan tich KL VL,NC,M'!C$8:C$73,B10,'Phan tich KL VL,NC,M'!G$8:G$73)</f>
        <v>0</v>
      </c>
      <c r="E10" s="146">
        <v>0</v>
      </c>
      <c r="F10" s="147">
        <f>SUM(F11:F28)</f>
        <v>298074794.27623856</v>
      </c>
    </row>
    <row r="11" spans="1:6" ht="15">
      <c r="A11" s="8" t="s">
        <v>0</v>
      </c>
      <c r="B11" s="9" t="s">
        <v>0</v>
      </c>
      <c r="C11" s="9" t="s">
        <v>0</v>
      </c>
      <c r="D11" s="148">
        <f>SUMIF('Phan tich KL VL,NC,M'!C$8:C$73,B11,'Phan tich KL VL,NC,M'!G$8:G$73)</f>
        <v>0</v>
      </c>
      <c r="E11" s="148">
        <v>0</v>
      </c>
      <c r="F11" s="149"/>
    </row>
    <row r="12" spans="1:6" ht="15">
      <c r="A12" s="8" t="s">
        <v>388</v>
      </c>
      <c r="B12" s="9" t="s">
        <v>389</v>
      </c>
      <c r="C12" s="9" t="s">
        <v>388</v>
      </c>
      <c r="D12" s="148">
        <f>100</f>
        <v>100</v>
      </c>
      <c r="E12" s="148">
        <v>595.39316</v>
      </c>
      <c r="F12" s="149">
        <f aca="true" t="shared" si="0" ref="F12:F27">D12*E12</f>
        <v>59539.316</v>
      </c>
    </row>
    <row r="13" spans="1:6" ht="15">
      <c r="A13" s="8" t="s">
        <v>2</v>
      </c>
      <c r="B13" s="9" t="s">
        <v>8</v>
      </c>
      <c r="C13" s="9" t="s">
        <v>9</v>
      </c>
      <c r="D13" s="148">
        <f>SUMIF('Phan tich KL VL,NC,M'!C$8:C$73,B13,'Phan tich KL VL,NC,M'!G$8:G$73)</f>
        <v>128.5664576</v>
      </c>
      <c r="E13" s="148">
        <f>'Gia VL'!Q12</f>
        <v>317705.7</v>
      </c>
      <c r="F13" s="149">
        <f t="shared" si="0"/>
        <v>40846296.408328325</v>
      </c>
    </row>
    <row r="14" spans="1:6" ht="15">
      <c r="A14" s="8" t="s">
        <v>15</v>
      </c>
      <c r="B14" s="9" t="s">
        <v>44</v>
      </c>
      <c r="C14" s="9" t="s">
        <v>9</v>
      </c>
      <c r="D14" s="148">
        <f>SUMIF('Phan tich KL VL,NC,M'!C$8:C$73,B14,'Phan tich KL VL,NC,M'!G$8:G$73)</f>
        <v>0.26448</v>
      </c>
      <c r="E14" s="148">
        <f>'Gia VL'!Q15</f>
        <v>363160.7</v>
      </c>
      <c r="F14" s="149">
        <f t="shared" si="0"/>
        <v>96048.741936</v>
      </c>
    </row>
    <row r="15" spans="1:6" ht="15">
      <c r="A15" s="8" t="s">
        <v>21</v>
      </c>
      <c r="B15" s="9" t="s">
        <v>53</v>
      </c>
      <c r="C15" s="9" t="s">
        <v>54</v>
      </c>
      <c r="D15" s="148">
        <f>SUMIF('Phan tich KL VL,NC,M'!C$8:C$73,B15,'Phan tich KL VL,NC,M'!G$8:G$73)</f>
        <v>631.68</v>
      </c>
      <c r="E15" s="148">
        <f>'Gia VL'!Q21</f>
        <v>1622.5</v>
      </c>
      <c r="F15" s="149">
        <f t="shared" si="0"/>
        <v>1024900.7999999999</v>
      </c>
    </row>
    <row r="16" spans="1:6" ht="15">
      <c r="A16" s="8" t="s">
        <v>26</v>
      </c>
      <c r="B16" s="9" t="s">
        <v>18</v>
      </c>
      <c r="C16" s="9" t="s">
        <v>19</v>
      </c>
      <c r="D16" s="148">
        <f>SUMIF('Phan tich KL VL,NC,M'!C$8:C$73,B16,'Phan tich KL VL,NC,M'!G$8:G$73)</f>
        <v>2171.5</v>
      </c>
      <c r="E16" s="148">
        <f>'Gia VL'!Q22</f>
        <v>95000</v>
      </c>
      <c r="F16" s="149">
        <f t="shared" si="0"/>
        <v>206292500</v>
      </c>
    </row>
    <row r="17" spans="1:6" ht="15">
      <c r="A17" s="8" t="s">
        <v>31</v>
      </c>
      <c r="B17" s="9" t="s">
        <v>36</v>
      </c>
      <c r="C17" s="9" t="s">
        <v>9</v>
      </c>
      <c r="D17" s="148">
        <f>SUMIF('Phan tich KL VL,NC,M'!C$8:C$73,B17,'Phan tich KL VL,NC,M'!G$8:G$73)</f>
        <v>0.00804</v>
      </c>
      <c r="E17" s="148">
        <f>'Gia VL'!Q23</f>
        <v>4090909.09</v>
      </c>
      <c r="F17" s="149">
        <f t="shared" si="0"/>
        <v>32890.9090836</v>
      </c>
    </row>
    <row r="18" spans="1:6" ht="15">
      <c r="A18" s="8" t="s">
        <v>39</v>
      </c>
      <c r="B18" s="9" t="s">
        <v>34</v>
      </c>
      <c r="C18" s="9" t="s">
        <v>9</v>
      </c>
      <c r="D18" s="148">
        <f>SUMIF('Phan tich KL VL,NC,M'!C$8:C$73,B18,'Phan tich KL VL,NC,M'!G$8:G$73)</f>
        <v>0.019055999999999997</v>
      </c>
      <c r="E18" s="148">
        <f>'Gia VL'!Q24</f>
        <v>4090909.09</v>
      </c>
      <c r="F18" s="149">
        <f t="shared" si="0"/>
        <v>77956.36361903998</v>
      </c>
    </row>
    <row r="19" spans="1:6" ht="15">
      <c r="A19" s="8" t="s">
        <v>49</v>
      </c>
      <c r="B19" s="9" t="s">
        <v>35</v>
      </c>
      <c r="C19" s="9" t="s">
        <v>9</v>
      </c>
      <c r="D19" s="148">
        <f>SUMIF('Phan tich KL VL,NC,M'!C$8:C$73,B19,'Phan tich KL VL,NC,M'!G$8:G$73)</f>
        <v>0.005039999999999999</v>
      </c>
      <c r="E19" s="148">
        <f>'Gia VL'!Q25</f>
        <v>4090909.09</v>
      </c>
      <c r="F19" s="149">
        <f t="shared" si="0"/>
        <v>20618.181813599997</v>
      </c>
    </row>
    <row r="20" spans="1:6" ht="15">
      <c r="A20" s="8" t="s">
        <v>56</v>
      </c>
      <c r="B20" s="9" t="s">
        <v>10</v>
      </c>
      <c r="C20" s="9" t="s">
        <v>9</v>
      </c>
      <c r="D20" s="148">
        <f>SUMIF('Phan tich KL VL,NC,M'!C$8:C$73,B20,'Phan tich KL VL,NC,M'!G$8:G$73)</f>
        <v>29.792336000000002</v>
      </c>
      <c r="E20" s="148">
        <f>'Gia VL'!Q26</f>
        <v>9545.45</v>
      </c>
      <c r="F20" s="149">
        <f t="shared" si="0"/>
        <v>284381.2536712001</v>
      </c>
    </row>
    <row r="21" spans="1:6" ht="15">
      <c r="A21" s="8" t="s">
        <v>59</v>
      </c>
      <c r="B21" s="9" t="s">
        <v>64</v>
      </c>
      <c r="C21" s="9" t="s">
        <v>65</v>
      </c>
      <c r="D21" s="148">
        <f>SUMIF('Phan tich KL VL,NC,M'!C$8:C$73,B21,'Phan tich KL VL,NC,M'!G$8:G$73)</f>
        <v>1.7999999999999998</v>
      </c>
      <c r="E21" s="148">
        <f>'Gia VL'!Q29</f>
        <v>191077.8</v>
      </c>
      <c r="F21" s="149">
        <f t="shared" si="0"/>
        <v>343940.0399999999</v>
      </c>
    </row>
    <row r="22" spans="1:6" ht="15">
      <c r="A22" s="8" t="s">
        <v>68</v>
      </c>
      <c r="B22" s="9" t="s">
        <v>66</v>
      </c>
      <c r="C22" s="9" t="s">
        <v>65</v>
      </c>
      <c r="D22" s="148">
        <f>SUMIF('Phan tich KL VL,NC,M'!C$8:C$73,B22,'Phan tich KL VL,NC,M'!G$8:G$73)</f>
        <v>2.844</v>
      </c>
      <c r="E22" s="148">
        <f>'Gia VL'!Q32</f>
        <v>208100</v>
      </c>
      <c r="F22" s="149">
        <f t="shared" si="0"/>
        <v>591836.4</v>
      </c>
    </row>
    <row r="23" spans="1:6" ht="15">
      <c r="A23" s="8" t="s">
        <v>71</v>
      </c>
      <c r="B23" s="9" t="s">
        <v>20</v>
      </c>
      <c r="C23" s="9" t="s">
        <v>7</v>
      </c>
      <c r="D23" s="148">
        <f>SUMIF('Phan tich KL VL,NC,M'!C$8:C$73,B23,'Phan tich KL VL,NC,M'!G$8:G$73)</f>
        <v>172</v>
      </c>
      <c r="E23" s="148">
        <f>ROUND('Gia VL'!Q36/1000,5)</f>
        <v>1613.636</v>
      </c>
      <c r="F23" s="149">
        <f t="shared" si="0"/>
        <v>277545.392</v>
      </c>
    </row>
    <row r="24" spans="1:6" ht="15">
      <c r="A24" s="8" t="s">
        <v>74</v>
      </c>
      <c r="B24" s="9" t="s">
        <v>6</v>
      </c>
      <c r="C24" s="9" t="s">
        <v>7</v>
      </c>
      <c r="D24" s="148">
        <f>SUMIF('Phan tich KL VL,NC,M'!C$8:C$73,B24,'Phan tich KL VL,NC,M'!G$8:G$73)</f>
        <v>28522.30656</v>
      </c>
      <c r="E24" s="148">
        <f>ROUND('Gia VL'!Q37/1000,5)</f>
        <v>1677.273</v>
      </c>
      <c r="F24" s="149">
        <f t="shared" si="0"/>
        <v>47839694.69081088</v>
      </c>
    </row>
    <row r="25" spans="1:6" ht="15">
      <c r="A25" s="8" t="s">
        <v>79</v>
      </c>
      <c r="B25" s="9" t="s">
        <v>43</v>
      </c>
      <c r="C25" s="9" t="s">
        <v>7</v>
      </c>
      <c r="D25" s="148">
        <f>SUMIF('Phan tich KL VL,NC,M'!C$8:C$73,B25,'Phan tich KL VL,NC,M'!G$8:G$73)</f>
        <v>97.44</v>
      </c>
      <c r="E25" s="148">
        <f>ROUND('Gia VL'!Q38/1000,5)</f>
        <v>1613.636</v>
      </c>
      <c r="F25" s="149">
        <f t="shared" si="0"/>
        <v>157232.69183999998</v>
      </c>
    </row>
    <row r="26" spans="1:6" ht="15">
      <c r="A26" s="8" t="s">
        <v>82</v>
      </c>
      <c r="B26" s="9" t="s">
        <v>37</v>
      </c>
      <c r="C26" s="9" t="s">
        <v>7</v>
      </c>
      <c r="D26" s="148">
        <f>SUMIF('Phan tich KL VL,NC,M'!C$8:C$73,B26,'Phan tich KL VL,NC,M'!G$8:G$73)</f>
        <v>0.36</v>
      </c>
      <c r="E26" s="148">
        <f>ROUND('Gia VL'!Q41/1000,5)</f>
        <v>16250</v>
      </c>
      <c r="F26" s="149">
        <f t="shared" si="0"/>
        <v>5850</v>
      </c>
    </row>
    <row r="27" spans="1:6" ht="15">
      <c r="A27" s="8" t="s">
        <v>86</v>
      </c>
      <c r="B27" s="9" t="s">
        <v>45</v>
      </c>
      <c r="C27" s="9" t="s">
        <v>9</v>
      </c>
      <c r="D27" s="148">
        <f>SUMIF('Phan tich KL VL,NC,M'!C$8:C$73,B27,'Phan tich KL VL,NC,M'!G$8:G$73)</f>
        <v>0.42912</v>
      </c>
      <c r="E27" s="148">
        <f>'Gia VL'!Q46</f>
        <v>287945.3</v>
      </c>
      <c r="F27" s="149">
        <f t="shared" si="0"/>
        <v>123563.087136</v>
      </c>
    </row>
    <row r="28" spans="1:6" ht="15">
      <c r="A28" s="8" t="s">
        <v>0</v>
      </c>
      <c r="B28" s="9" t="s">
        <v>0</v>
      </c>
      <c r="C28" s="9" t="s">
        <v>0</v>
      </c>
      <c r="D28" s="148">
        <f>SUMIF('Phan tich KL VL,NC,M'!C$8:C$73,B28,'Phan tich KL VL,NC,M'!G$8:G$73)</f>
        <v>0</v>
      </c>
      <c r="E28" s="148">
        <v>0</v>
      </c>
      <c r="F28" s="149"/>
    </row>
    <row r="29" spans="1:6" ht="15.75">
      <c r="A29" s="26" t="s">
        <v>0</v>
      </c>
      <c r="B29" s="27" t="s">
        <v>473</v>
      </c>
      <c r="C29" s="27" t="s">
        <v>0</v>
      </c>
      <c r="D29" s="146">
        <f>SUMIF('Phan tich KL VL,NC,M'!C$8:C$73,B29,'Phan tich KL VL,NC,M'!G$8:G$73)</f>
        <v>0</v>
      </c>
      <c r="E29" s="146">
        <v>0</v>
      </c>
      <c r="F29" s="147">
        <f>SUM(F30:F35)</f>
        <v>130873278.98815042</v>
      </c>
    </row>
    <row r="30" spans="1:6" ht="15">
      <c r="A30" s="8" t="s">
        <v>0</v>
      </c>
      <c r="B30" s="9" t="s">
        <v>0</v>
      </c>
      <c r="C30" s="9" t="s">
        <v>0</v>
      </c>
      <c r="D30" s="148">
        <f>SUMIF('Phan tich KL VL,NC,M'!C$8:C$73,B30,'Phan tich KL VL,NC,M'!G$8:G$73)</f>
        <v>0</v>
      </c>
      <c r="E30" s="148">
        <v>0</v>
      </c>
      <c r="F30" s="149"/>
    </row>
    <row r="31" spans="1:6" ht="15">
      <c r="A31" s="8" t="s">
        <v>91</v>
      </c>
      <c r="B31" s="9" t="s">
        <v>25</v>
      </c>
      <c r="C31" s="9" t="s">
        <v>12</v>
      </c>
      <c r="D31" s="148">
        <f>SUMIF('Phan tich KL VL,NC,M'!C$8:C$73,B31,'Phan tich KL VL,NC,M'!G$8:G$73)</f>
        <v>1.7433119999999998</v>
      </c>
      <c r="E31" s="148">
        <f>'Gia NC,CM'!P8</f>
        <v>218559.2</v>
      </c>
      <c r="F31" s="149">
        <f>D31*E31</f>
        <v>381016.87607039994</v>
      </c>
    </row>
    <row r="32" spans="1:6" ht="15">
      <c r="A32" s="8" t="s">
        <v>96</v>
      </c>
      <c r="B32" s="9" t="s">
        <v>46</v>
      </c>
      <c r="C32" s="9" t="s">
        <v>12</v>
      </c>
      <c r="D32" s="148">
        <f>SUMIF('Phan tich KL VL,NC,M'!C$8:C$73,B32,'Phan tich KL VL,NC,M'!G$8:G$73)</f>
        <v>0.5136000000000001</v>
      </c>
      <c r="E32" s="148">
        <f>'Gia NC,CM'!P9</f>
        <v>230630.3</v>
      </c>
      <c r="F32" s="149">
        <f>D32*E32</f>
        <v>118451.72208</v>
      </c>
    </row>
    <row r="33" spans="1:6" ht="15">
      <c r="A33" s="8" t="s">
        <v>100</v>
      </c>
      <c r="B33" s="9" t="s">
        <v>38</v>
      </c>
      <c r="C33" s="9" t="s">
        <v>12</v>
      </c>
      <c r="D33" s="148">
        <f>SUMIF('Phan tich KL VL,NC,M'!C$8:C$73,B33,'Phan tich KL VL,NC,M'!G$8:G$73)</f>
        <v>8.159999999999998</v>
      </c>
      <c r="E33" s="148">
        <f>'Gia NC,CM'!P11</f>
        <v>252200</v>
      </c>
      <c r="F33" s="149">
        <f>D33*E33</f>
        <v>2057951.9999999995</v>
      </c>
    </row>
    <row r="34" spans="1:6" ht="15">
      <c r="A34" s="8" t="s">
        <v>102</v>
      </c>
      <c r="B34" s="9" t="s">
        <v>11</v>
      </c>
      <c r="C34" s="9" t="s">
        <v>12</v>
      </c>
      <c r="D34" s="148">
        <f>SUMIF('Phan tich KL VL,NC,M'!C$8:C$73,B34,'Phan tich KL VL,NC,M'!G$8:G$73)</f>
        <v>468.70000000000005</v>
      </c>
      <c r="E34" s="148">
        <f>'Gia NC,CM'!P12</f>
        <v>273769.7</v>
      </c>
      <c r="F34" s="149">
        <f>D34*E34</f>
        <v>128315858.39000002</v>
      </c>
    </row>
    <row r="35" spans="1:6" ht="15">
      <c r="A35" s="8" t="s">
        <v>0</v>
      </c>
      <c r="B35" s="9" t="s">
        <v>0</v>
      </c>
      <c r="C35" s="9" t="s">
        <v>0</v>
      </c>
      <c r="D35" s="148">
        <f>SUMIF('Phan tich KL VL,NC,M'!C$8:C$73,B35,'Phan tich KL VL,NC,M'!G$8:G$73)</f>
        <v>0</v>
      </c>
      <c r="E35" s="148">
        <v>0</v>
      </c>
      <c r="F35" s="149"/>
    </row>
    <row r="36" spans="1:6" ht="15.75">
      <c r="A36" s="26" t="s">
        <v>0</v>
      </c>
      <c r="B36" s="27" t="s">
        <v>472</v>
      </c>
      <c r="C36" s="27" t="s">
        <v>0</v>
      </c>
      <c r="D36" s="146">
        <f>SUMIF('Phan tich KL VL,NC,M'!C$8:C$73,B36,'Phan tich KL VL,NC,M'!G$8:G$73)</f>
        <v>0</v>
      </c>
      <c r="E36" s="146">
        <v>0</v>
      </c>
      <c r="F36" s="147">
        <f>SUM(F37:F46)</f>
        <v>2572870.207786399</v>
      </c>
    </row>
    <row r="37" spans="1:6" ht="15">
      <c r="A37" s="8" t="s">
        <v>0</v>
      </c>
      <c r="B37" s="9" t="s">
        <v>0</v>
      </c>
      <c r="C37" s="9" t="s">
        <v>0</v>
      </c>
      <c r="D37" s="148">
        <f>SUMIF('Phan tich KL VL,NC,M'!C$8:C$73,B37,'Phan tich KL VL,NC,M'!G$8:G$73)</f>
        <v>0</v>
      </c>
      <c r="E37" s="148">
        <v>0</v>
      </c>
      <c r="F37" s="149"/>
    </row>
    <row r="38" spans="1:6" ht="15">
      <c r="A38" s="8" t="s">
        <v>388</v>
      </c>
      <c r="B38" s="9" t="s">
        <v>394</v>
      </c>
      <c r="C38" s="9" t="s">
        <v>388</v>
      </c>
      <c r="D38" s="148">
        <f>100</f>
        <v>100</v>
      </c>
      <c r="E38" s="148">
        <v>0.49215</v>
      </c>
      <c r="F38" s="149">
        <f aca="true" t="shared" si="1" ref="F38:F43">D38*E38</f>
        <v>49.214999999999996</v>
      </c>
    </row>
    <row r="39" spans="1:6" ht="15">
      <c r="A39" s="8" t="s">
        <v>108</v>
      </c>
      <c r="B39" s="9" t="s">
        <v>13</v>
      </c>
      <c r="C39" s="9" t="s">
        <v>14</v>
      </c>
      <c r="D39" s="148">
        <f>SUMIF('Phan tich KL VL,NC,M'!C$8:C$73,B39,'Phan tich KL VL,NC,M'!G$8:G$73)</f>
        <v>8.636</v>
      </c>
      <c r="E39" s="148">
        <f>'Gia NC,CM'!P15</f>
        <v>292948.6</v>
      </c>
      <c r="F39" s="149">
        <f t="shared" si="1"/>
        <v>2529904.1095999996</v>
      </c>
    </row>
    <row r="40" spans="1:6" ht="15">
      <c r="A40" s="8" t="s">
        <v>111</v>
      </c>
      <c r="B40" s="9" t="s">
        <v>47</v>
      </c>
      <c r="C40" s="9" t="s">
        <v>14</v>
      </c>
      <c r="D40" s="148">
        <f>SUMIF('Phan tich KL VL,NC,M'!C$8:C$73,B40,'Phan tich KL VL,NC,M'!G$8:G$73)</f>
        <v>0.0456</v>
      </c>
      <c r="E40" s="148">
        <f>'Gia NC,CM'!P16</f>
        <v>318885.3</v>
      </c>
      <c r="F40" s="149">
        <f t="shared" si="1"/>
        <v>14541.16968</v>
      </c>
    </row>
    <row r="41" spans="1:6" ht="15">
      <c r="A41" s="8" t="s">
        <v>112</v>
      </c>
      <c r="B41" s="9" t="s">
        <v>55</v>
      </c>
      <c r="C41" s="9" t="s">
        <v>14</v>
      </c>
      <c r="D41" s="148">
        <f>SUMIF('Phan tich KL VL,NC,M'!C$8:C$73,B41,'Phan tich KL VL,NC,M'!G$8:G$73)</f>
        <v>0.033600000000000005</v>
      </c>
      <c r="E41" s="148">
        <f>'Gia NC,CM'!P17</f>
        <v>292948.6</v>
      </c>
      <c r="F41" s="149">
        <f t="shared" si="1"/>
        <v>9843.072960000001</v>
      </c>
    </row>
    <row r="42" spans="1:6" ht="15">
      <c r="A42" s="8" t="s">
        <v>113</v>
      </c>
      <c r="B42" s="9" t="s">
        <v>48</v>
      </c>
      <c r="C42" s="9" t="s">
        <v>14</v>
      </c>
      <c r="D42" s="148">
        <f>SUMIF('Phan tich KL VL,NC,M'!C$8:C$73,B42,'Phan tich KL VL,NC,M'!G$8:G$73)</f>
        <v>0.042719999999999994</v>
      </c>
      <c r="E42" s="148">
        <f>'Gia NC,CM'!P19</f>
        <v>270954</v>
      </c>
      <c r="F42" s="149">
        <f t="shared" si="1"/>
        <v>11575.154879999998</v>
      </c>
    </row>
    <row r="43" spans="1:6" ht="15">
      <c r="A43" s="8" t="s">
        <v>117</v>
      </c>
      <c r="B43" s="9" t="s">
        <v>30</v>
      </c>
      <c r="C43" s="9" t="s">
        <v>14</v>
      </c>
      <c r="D43" s="148">
        <f>SUMIF('Phan tich KL VL,NC,M'!C$8:C$73,B43,'Phan tich KL VL,NC,M'!G$8:G$73)</f>
        <v>0.018455999999999997</v>
      </c>
      <c r="E43" s="148">
        <f>'Gia NC,CM'!P21</f>
        <v>376976.9</v>
      </c>
      <c r="F43" s="149">
        <f t="shared" si="1"/>
        <v>6957.485666399999</v>
      </c>
    </row>
    <row r="44" spans="1:6" ht="15">
      <c r="A44" s="8" t="s">
        <v>0</v>
      </c>
      <c r="B44" s="9" t="s">
        <v>0</v>
      </c>
      <c r="C44" s="9" t="s">
        <v>0</v>
      </c>
      <c r="D44" s="148">
        <f>SUMIF('Phan tich KL VL,NC,M'!C$8:C$73,B44,'Phan tich KL VL,NC,M'!G$8:G$73)</f>
        <v>0</v>
      </c>
      <c r="E44" s="148">
        <v>0</v>
      </c>
      <c r="F44" s="149"/>
    </row>
    <row r="45" spans="1:6" ht="15.75">
      <c r="A45" s="26" t="s">
        <v>0</v>
      </c>
      <c r="B45" s="27" t="s">
        <v>67</v>
      </c>
      <c r="C45" s="27" t="s">
        <v>0</v>
      </c>
      <c r="D45" s="146">
        <f>SUMIF('Phan tich KL VL,NC,M'!C$73:C$157,B45,'Phan tich KL VL,NC,M'!G$73:G$157)</f>
        <v>0</v>
      </c>
      <c r="E45" s="146">
        <v>0</v>
      </c>
      <c r="F45" s="147"/>
    </row>
    <row r="46" spans="1:6" ht="15">
      <c r="A46" s="8" t="s">
        <v>0</v>
      </c>
      <c r="B46" s="9" t="s">
        <v>0</v>
      </c>
      <c r="C46" s="9" t="s">
        <v>0</v>
      </c>
      <c r="D46" s="148">
        <f>SUMIF('Phan tich KL VL,NC,M'!C$73:C$157,B46,'Phan tich KL VL,NC,M'!G$73:G$157)</f>
        <v>0</v>
      </c>
      <c r="E46" s="148">
        <v>0</v>
      </c>
      <c r="F46" s="149"/>
    </row>
    <row r="47" spans="1:6" ht="15.75">
      <c r="A47" s="26" t="s">
        <v>0</v>
      </c>
      <c r="B47" s="27" t="s">
        <v>474</v>
      </c>
      <c r="C47" s="27" t="s">
        <v>0</v>
      </c>
      <c r="D47" s="146">
        <f>SUMIF('Phan tich KL VL,NC,M'!C$73:C$157,B47,'Phan tich KL VL,NC,M'!G$73:G$157)</f>
        <v>0</v>
      </c>
      <c r="E47" s="146">
        <v>0</v>
      </c>
      <c r="F47" s="147">
        <f>SUM(F48:F62)</f>
        <v>85748729.41397643</v>
      </c>
    </row>
    <row r="48" spans="1:6" ht="15">
      <c r="A48" s="8" t="s">
        <v>0</v>
      </c>
      <c r="B48" s="9" t="s">
        <v>0</v>
      </c>
      <c r="C48" s="9" t="s">
        <v>0</v>
      </c>
      <c r="D48" s="148">
        <f>SUMIF('Phan tich KL VL,NC,M'!C$73:C$157,B48,'Phan tich KL VL,NC,M'!G$73:G$157)</f>
        <v>0</v>
      </c>
      <c r="E48" s="148">
        <v>0</v>
      </c>
      <c r="F48" s="149"/>
    </row>
    <row r="49" spans="1:6" ht="15">
      <c r="A49" s="8" t="s">
        <v>388</v>
      </c>
      <c r="B49" s="9" t="s">
        <v>389</v>
      </c>
      <c r="C49" s="9" t="s">
        <v>388</v>
      </c>
      <c r="D49" s="148">
        <f>100</f>
        <v>100</v>
      </c>
      <c r="E49" s="148">
        <v>4272.36966</v>
      </c>
      <c r="F49" s="149">
        <f aca="true" t="shared" si="2" ref="F49:F61">D49*E49</f>
        <v>427236.966</v>
      </c>
    </row>
    <row r="50" spans="1:6" ht="15">
      <c r="A50" s="8" t="s">
        <v>2</v>
      </c>
      <c r="B50" s="9" t="s">
        <v>95</v>
      </c>
      <c r="C50" s="9" t="s">
        <v>9</v>
      </c>
      <c r="D50" s="148">
        <f>SUMIF('Phan tich KL VL,NC,M'!C$73:C$157,B50,'Phan tich KL VL,NC,M'!G$73:G$157)</f>
        <v>1.3064665239999997</v>
      </c>
      <c r="E50" s="148">
        <f>'Gia VL'!Q9</f>
        <v>317705.7</v>
      </c>
      <c r="F50" s="149">
        <f t="shared" si="2"/>
        <v>415071.86153398675</v>
      </c>
    </row>
    <row r="51" spans="1:6" ht="15">
      <c r="A51" s="8" t="s">
        <v>15</v>
      </c>
      <c r="B51" s="9" t="s">
        <v>8</v>
      </c>
      <c r="C51" s="9" t="s">
        <v>9</v>
      </c>
      <c r="D51" s="148">
        <f>SUMIF('Phan tich KL VL,NC,M'!C$73:C$157,B51,'Phan tich KL VL,NC,M'!G$73:G$157)</f>
        <v>7.820679999999999</v>
      </c>
      <c r="E51" s="148">
        <f>'Gia VL'!Q12</f>
        <v>317705.7</v>
      </c>
      <c r="F51" s="149">
        <f t="shared" si="2"/>
        <v>2484674.613876</v>
      </c>
    </row>
    <row r="52" spans="1:6" ht="15">
      <c r="A52" s="8" t="s">
        <v>21</v>
      </c>
      <c r="B52" s="9" t="s">
        <v>121</v>
      </c>
      <c r="C52" s="9" t="s">
        <v>19</v>
      </c>
      <c r="D52" s="148">
        <f>SUMIF('Phan tich KL VL,NC,M'!C$73:C$157,B52,'Phan tich KL VL,NC,M'!G$73:G$157)</f>
        <v>132.7544</v>
      </c>
      <c r="E52" s="148">
        <f>'Gia VL'!Q20</f>
        <v>288889</v>
      </c>
      <c r="F52" s="149">
        <f t="shared" si="2"/>
        <v>38351285.861600004</v>
      </c>
    </row>
    <row r="53" spans="1:6" ht="15">
      <c r="A53" s="8" t="s">
        <v>26</v>
      </c>
      <c r="B53" s="9" t="s">
        <v>10</v>
      </c>
      <c r="C53" s="9" t="s">
        <v>9</v>
      </c>
      <c r="D53" s="148">
        <f>SUMIF('Phan tich KL VL,NC,M'!C$73:C$157,B53,'Phan tich KL VL,NC,M'!G$73:G$157)</f>
        <v>2.120671608</v>
      </c>
      <c r="E53" s="148">
        <f>'Gia VL'!Q26</f>
        <v>9545.45</v>
      </c>
      <c r="F53" s="149">
        <f t="shared" si="2"/>
        <v>20242.7648005836</v>
      </c>
    </row>
    <row r="54" spans="1:6" ht="15">
      <c r="A54" s="8" t="s">
        <v>31</v>
      </c>
      <c r="B54" s="9" t="s">
        <v>64</v>
      </c>
      <c r="C54" s="9" t="s">
        <v>65</v>
      </c>
      <c r="D54" s="148">
        <f>SUMIF('Phan tich KL VL,NC,M'!C$73:C$157,B54,'Phan tich KL VL,NC,M'!G$73:G$157)</f>
        <v>26.60775</v>
      </c>
      <c r="E54" s="148">
        <f>'Gia VL'!Q29</f>
        <v>191077.8</v>
      </c>
      <c r="F54" s="149">
        <f t="shared" si="2"/>
        <v>5084150.33295</v>
      </c>
    </row>
    <row r="55" spans="1:6" ht="15">
      <c r="A55" s="8" t="s">
        <v>39</v>
      </c>
      <c r="B55" s="9" t="s">
        <v>106</v>
      </c>
      <c r="C55" s="9" t="s">
        <v>65</v>
      </c>
      <c r="D55" s="148">
        <f>SUMIF('Phan tich KL VL,NC,M'!C$73:C$157,B55,'Phan tich KL VL,NC,M'!G$73:G$157)</f>
        <v>26.97376</v>
      </c>
      <c r="E55" s="148">
        <f>'Gia VL'!Q30</f>
        <v>136597.2</v>
      </c>
      <c r="F55" s="149">
        <f t="shared" si="2"/>
        <v>3684540.089472</v>
      </c>
    </row>
    <row r="56" spans="1:6" ht="15">
      <c r="A56" s="8" t="s">
        <v>49</v>
      </c>
      <c r="B56" s="9" t="s">
        <v>66</v>
      </c>
      <c r="C56" s="9" t="s">
        <v>65</v>
      </c>
      <c r="D56" s="148">
        <f>SUMIF('Phan tich KL VL,NC,M'!C$73:C$157,B56,'Phan tich KL VL,NC,M'!G$73:G$157)</f>
        <v>42.040245</v>
      </c>
      <c r="E56" s="148">
        <f>'Gia VL'!Q32</f>
        <v>208100</v>
      </c>
      <c r="F56" s="149">
        <f t="shared" si="2"/>
        <v>8748574.9845</v>
      </c>
    </row>
    <row r="57" spans="1:6" ht="15">
      <c r="A57" s="8" t="s">
        <v>56</v>
      </c>
      <c r="B57" s="9" t="s">
        <v>107</v>
      </c>
      <c r="C57" s="9" t="s">
        <v>65</v>
      </c>
      <c r="D57" s="148">
        <f>SUMIF('Phan tich KL VL,NC,M'!C$73:C$157,B57,'Phan tich KL VL,NC,M'!G$73:G$157)</f>
        <v>43.02144</v>
      </c>
      <c r="E57" s="148">
        <f>'Gia VL'!Q33</f>
        <v>120650.9</v>
      </c>
      <c r="F57" s="149">
        <f t="shared" si="2"/>
        <v>5190575.455296</v>
      </c>
    </row>
    <row r="58" spans="1:6" ht="15">
      <c r="A58" s="8" t="s">
        <v>59</v>
      </c>
      <c r="B58" s="9" t="s">
        <v>128</v>
      </c>
      <c r="C58" s="9" t="s">
        <v>19</v>
      </c>
      <c r="D58" s="148">
        <f>SUMIF('Phan tich KL VL,NC,M'!C$73:C$157,B58,'Phan tich KL VL,NC,M'!G$73:G$157)</f>
        <v>98.112</v>
      </c>
      <c r="E58" s="148">
        <f>'Gia VL'!Q35</f>
        <v>180000</v>
      </c>
      <c r="F58" s="149">
        <f t="shared" si="2"/>
        <v>17660160</v>
      </c>
    </row>
    <row r="59" spans="1:6" ht="15">
      <c r="A59" s="8" t="s">
        <v>68</v>
      </c>
      <c r="B59" s="9" t="s">
        <v>6</v>
      </c>
      <c r="C59" s="9" t="s">
        <v>7</v>
      </c>
      <c r="D59" s="148">
        <f>SUMIF('Phan tich KL VL,NC,M'!C$73:C$157,B59,'Phan tich KL VL,NC,M'!G$73:G$157)</f>
        <v>2074.306036</v>
      </c>
      <c r="E59" s="148">
        <f>ROUND('Gia VL'!Q37/1000,5)</f>
        <v>1677.273</v>
      </c>
      <c r="F59" s="149">
        <f t="shared" si="2"/>
        <v>3479177.507919828</v>
      </c>
    </row>
    <row r="60" spans="1:6" ht="15">
      <c r="A60" s="8" t="s">
        <v>71</v>
      </c>
      <c r="B60" s="9" t="s">
        <v>122</v>
      </c>
      <c r="C60" s="9" t="s">
        <v>7</v>
      </c>
      <c r="D60" s="148">
        <f>SUMIF('Phan tich KL VL,NC,M'!C$73:C$157,B60,'Phan tich KL VL,NC,M'!G$73:G$157)</f>
        <v>85.436</v>
      </c>
      <c r="E60" s="148">
        <f>ROUND('Gia VL'!Q39/1000,5)</f>
        <v>1677.273</v>
      </c>
      <c r="F60" s="149">
        <f t="shared" si="2"/>
        <v>143299.496028</v>
      </c>
    </row>
    <row r="61" spans="1:6" ht="15">
      <c r="A61" s="8" t="s">
        <v>74</v>
      </c>
      <c r="B61" s="9" t="s">
        <v>123</v>
      </c>
      <c r="C61" s="9" t="s">
        <v>7</v>
      </c>
      <c r="D61" s="148">
        <f>SUMIF('Phan tich KL VL,NC,M'!C$73:C$157,B61,'Phan tich KL VL,NC,M'!G$73:G$157)</f>
        <v>13.144</v>
      </c>
      <c r="E61" s="148">
        <f>ROUND('Gia VL'!Q40/1000,5)</f>
        <v>4545</v>
      </c>
      <c r="F61" s="149">
        <f t="shared" si="2"/>
        <v>59739.48</v>
      </c>
    </row>
    <row r="62" spans="1:6" ht="15">
      <c r="A62" s="8" t="s">
        <v>0</v>
      </c>
      <c r="B62" s="9" t="s">
        <v>0</v>
      </c>
      <c r="C62" s="9" t="s">
        <v>0</v>
      </c>
      <c r="D62" s="148">
        <f>SUMIF('Phan tich KL VL,NC,M'!C$73:C$157,B62,'Phan tich KL VL,NC,M'!G$73:G$157)</f>
        <v>0</v>
      </c>
      <c r="E62" s="148">
        <v>0</v>
      </c>
      <c r="F62" s="149"/>
    </row>
    <row r="63" spans="1:6" ht="15.75">
      <c r="A63" s="26" t="s">
        <v>0</v>
      </c>
      <c r="B63" s="27" t="s">
        <v>473</v>
      </c>
      <c r="C63" s="27" t="s">
        <v>0</v>
      </c>
      <c r="D63" s="146">
        <f>SUMIF('Phan tich KL VL,NC,M'!C$73:C$157,B63,'Phan tich KL VL,NC,M'!G$73:G$157)</f>
        <v>0</v>
      </c>
      <c r="E63" s="146">
        <v>0</v>
      </c>
      <c r="F63" s="147">
        <f>SUM(F64:F69)</f>
        <v>31303102.738872003</v>
      </c>
    </row>
    <row r="64" spans="1:6" ht="15">
      <c r="A64" s="8" t="s">
        <v>0</v>
      </c>
      <c r="B64" s="9" t="s">
        <v>0</v>
      </c>
      <c r="C64" s="9" t="s">
        <v>0</v>
      </c>
      <c r="D64" s="148">
        <f>SUMIF('Phan tich KL VL,NC,M'!C$73:C$157,B64,'Phan tich KL VL,NC,M'!G$73:G$157)</f>
        <v>0</v>
      </c>
      <c r="E64" s="148">
        <v>0</v>
      </c>
      <c r="F64" s="149"/>
    </row>
    <row r="65" spans="1:6" ht="15">
      <c r="A65" s="8" t="s">
        <v>79</v>
      </c>
      <c r="B65" s="9" t="s">
        <v>25</v>
      </c>
      <c r="C65" s="9" t="s">
        <v>12</v>
      </c>
      <c r="D65" s="148">
        <f>SUMIF('Phan tich KL VL,NC,M'!C$73:C$157,B65,'Phan tich KL VL,NC,M'!G$73:G$157)</f>
        <v>31.25134</v>
      </c>
      <c r="E65" s="148">
        <f>'Gia NC,CM'!P8</f>
        <v>218559.2</v>
      </c>
      <c r="F65" s="149">
        <f>D65*E65</f>
        <v>6830267.869328001</v>
      </c>
    </row>
    <row r="66" spans="1:6" ht="15">
      <c r="A66" s="8" t="s">
        <v>82</v>
      </c>
      <c r="B66" s="9" t="s">
        <v>78</v>
      </c>
      <c r="C66" s="9" t="s">
        <v>12</v>
      </c>
      <c r="D66" s="148">
        <f>SUMIF('Phan tich KL VL,NC,M'!C$73:C$157,B66,'Phan tich KL VL,NC,M'!G$73:G$157)</f>
        <v>27.84936</v>
      </c>
      <c r="E66" s="148">
        <f>'Gia NC,CM'!P10</f>
        <v>239000</v>
      </c>
      <c r="F66" s="149">
        <f>D66*E66</f>
        <v>6655997.04</v>
      </c>
    </row>
    <row r="67" spans="1:6" ht="15">
      <c r="A67" s="8" t="s">
        <v>86</v>
      </c>
      <c r="B67" s="9" t="s">
        <v>38</v>
      </c>
      <c r="C67" s="9" t="s">
        <v>12</v>
      </c>
      <c r="D67" s="148">
        <f>SUMIF('Phan tich KL VL,NC,M'!C$73:C$157,B67,'Phan tich KL VL,NC,M'!G$73:G$157)</f>
        <v>40.967904999999995</v>
      </c>
      <c r="E67" s="148">
        <f>'Gia NC,CM'!P11</f>
        <v>252200</v>
      </c>
      <c r="F67" s="149">
        <f>D67*E67</f>
        <v>10332105.640999999</v>
      </c>
    </row>
    <row r="68" spans="1:6" ht="15">
      <c r="A68" s="8" t="s">
        <v>91</v>
      </c>
      <c r="B68" s="9" t="s">
        <v>11</v>
      </c>
      <c r="C68" s="9" t="s">
        <v>12</v>
      </c>
      <c r="D68" s="148">
        <f>SUMIF('Phan tich KL VL,NC,M'!C$73:C$157,B68,'Phan tich KL VL,NC,M'!G$73:G$157)</f>
        <v>27.33952</v>
      </c>
      <c r="E68" s="148">
        <f>'Gia NC,CM'!P12</f>
        <v>273769.7</v>
      </c>
      <c r="F68" s="149">
        <f>D68*E68</f>
        <v>7484732.1885440005</v>
      </c>
    </row>
    <row r="69" spans="1:6" ht="15">
      <c r="A69" s="8" t="s">
        <v>0</v>
      </c>
      <c r="B69" s="9" t="s">
        <v>0</v>
      </c>
      <c r="C69" s="9" t="s">
        <v>0</v>
      </c>
      <c r="D69" s="148">
        <f>SUMIF('Phan tich KL VL,NC,M'!C$73:C$157,B69,'Phan tich KL VL,NC,M'!G$73:G$157)</f>
        <v>0</v>
      </c>
      <c r="E69" s="148">
        <v>0</v>
      </c>
      <c r="F69" s="149"/>
    </row>
    <row r="70" spans="1:6" ht="15.75">
      <c r="A70" s="26" t="s">
        <v>0</v>
      </c>
      <c r="B70" s="27" t="s">
        <v>472</v>
      </c>
      <c r="C70" s="27" t="s">
        <v>0</v>
      </c>
      <c r="D70" s="146">
        <f>SUMIF('Phan tich KL VL,NC,M'!C$73:C$157,B70,'Phan tich KL VL,NC,M'!G$73:G$157)</f>
        <v>0</v>
      </c>
      <c r="E70" s="146">
        <v>0</v>
      </c>
      <c r="F70" s="147">
        <f>SUM(F71:F78)</f>
        <v>384960.9705678</v>
      </c>
    </row>
    <row r="71" spans="1:6" ht="15">
      <c r="A71" s="8" t="s">
        <v>0</v>
      </c>
      <c r="B71" s="9" t="s">
        <v>0</v>
      </c>
      <c r="C71" s="9" t="s">
        <v>0</v>
      </c>
      <c r="D71" s="148">
        <f>SUMIF('Phan tich KL VL,NC,M'!C$73:C$157,B71,'Phan tich KL VL,NC,M'!G$73:G$157)</f>
        <v>0</v>
      </c>
      <c r="E71" s="148">
        <v>0</v>
      </c>
      <c r="F71" s="149"/>
    </row>
    <row r="72" spans="1:6" ht="15">
      <c r="A72" s="8" t="s">
        <v>96</v>
      </c>
      <c r="B72" s="9" t="s">
        <v>124</v>
      </c>
      <c r="C72" s="9" t="s">
        <v>14</v>
      </c>
      <c r="D72" s="148">
        <f>SUMIF('Phan tich KL VL,NC,M'!C$73:C$157,B72,'Phan tich KL VL,NC,M'!G$73:G$157)</f>
        <v>5.2576</v>
      </c>
      <c r="E72" s="148">
        <f>'Gia NC,CM'!P13</f>
        <v>27817.3</v>
      </c>
      <c r="F72" s="149">
        <f>D72*E72</f>
        <v>146252.23648</v>
      </c>
    </row>
    <row r="73" spans="1:6" ht="15">
      <c r="A73" s="8" t="s">
        <v>100</v>
      </c>
      <c r="B73" s="9" t="s">
        <v>13</v>
      </c>
      <c r="C73" s="9" t="s">
        <v>14</v>
      </c>
      <c r="D73" s="148">
        <f>SUMIF('Phan tich KL VL,NC,M'!C$73:C$157,B73,'Phan tich KL VL,NC,M'!G$73:G$157)</f>
        <v>0.6583760000000001</v>
      </c>
      <c r="E73" s="148">
        <f>'Gia NC,CM'!P15</f>
        <v>292948.6</v>
      </c>
      <c r="F73" s="149">
        <f>D73*E73</f>
        <v>192870.32747360002</v>
      </c>
    </row>
    <row r="74" spans="1:6" ht="15">
      <c r="A74" s="8" t="s">
        <v>102</v>
      </c>
      <c r="B74" s="9" t="s">
        <v>90</v>
      </c>
      <c r="C74" s="9" t="s">
        <v>14</v>
      </c>
      <c r="D74" s="148">
        <f>SUMIF('Phan tich KL VL,NC,M'!C$73:C$157,B74,'Phan tich KL VL,NC,M'!G$73:G$157)</f>
        <v>0.01433</v>
      </c>
      <c r="E74" s="148">
        <f>'Gia NC,CM'!P25</f>
        <v>1064936.4</v>
      </c>
      <c r="F74" s="149">
        <f>D74*E74</f>
        <v>15260.538612</v>
      </c>
    </row>
    <row r="75" spans="1:6" ht="15">
      <c r="A75" s="8" t="s">
        <v>108</v>
      </c>
      <c r="B75" s="9" t="s">
        <v>116</v>
      </c>
      <c r="C75" s="9" t="s">
        <v>14</v>
      </c>
      <c r="D75" s="148">
        <f>SUMIF('Phan tich KL VL,NC,M'!C$73:C$157,B75,'Phan tich KL VL,NC,M'!G$73:G$157)</f>
        <v>0.023658000000000002</v>
      </c>
      <c r="E75" s="148">
        <f>'Gia NC,CM'!P26</f>
        <v>1292495.9</v>
      </c>
      <c r="F75" s="149">
        <f>D75*E75</f>
        <v>30577.8680022</v>
      </c>
    </row>
    <row r="76" spans="1:6" ht="15">
      <c r="A76" s="8" t="s">
        <v>0</v>
      </c>
      <c r="B76" s="9" t="s">
        <v>0</v>
      </c>
      <c r="C76" s="9" t="s">
        <v>0</v>
      </c>
      <c r="D76" s="148">
        <f>SUMIF('Phan tich KL VL,NC,M'!C$73:C$157,B76,'Phan tich KL VL,NC,M'!G$73:G$157)</f>
        <v>0</v>
      </c>
      <c r="E76" s="148">
        <v>0</v>
      </c>
      <c r="F76" s="149"/>
    </row>
    <row r="77" spans="1:6" ht="15.75">
      <c r="A77" s="26" t="s">
        <v>0</v>
      </c>
      <c r="B77" s="27" t="s">
        <v>129</v>
      </c>
      <c r="C77" s="27" t="s">
        <v>0</v>
      </c>
      <c r="D77" s="146">
        <f>SUMIF('Phan tich KL VL,NC,M'!C$157:C$249,B77,'Phan tich KL VL,NC,M'!G$157:G$249)</f>
        <v>0</v>
      </c>
      <c r="E77" s="146">
        <v>0</v>
      </c>
      <c r="F77" s="147"/>
    </row>
    <row r="78" spans="1:6" ht="15">
      <c r="A78" s="8" t="s">
        <v>0</v>
      </c>
      <c r="B78" s="9" t="s">
        <v>0</v>
      </c>
      <c r="C78" s="9" t="s">
        <v>0</v>
      </c>
      <c r="D78" s="148">
        <f>SUMIF('Phan tich KL VL,NC,M'!C$157:C$249,B78,'Phan tich KL VL,NC,M'!G$157:G$249)</f>
        <v>0</v>
      </c>
      <c r="E78" s="148">
        <v>0</v>
      </c>
      <c r="F78" s="149"/>
    </row>
    <row r="79" spans="1:6" ht="15.75">
      <c r="A79" s="26" t="s">
        <v>0</v>
      </c>
      <c r="B79" s="27" t="s">
        <v>474</v>
      </c>
      <c r="C79" s="27" t="s">
        <v>0</v>
      </c>
      <c r="D79" s="146">
        <f>SUMIF('Phan tich KL VL,NC,M'!C$157:C$249,B79,'Phan tich KL VL,NC,M'!G$157:G$249)</f>
        <v>0</v>
      </c>
      <c r="E79" s="146">
        <v>0</v>
      </c>
      <c r="F79" s="147">
        <f>SUM(F80:F96)</f>
        <v>69545072.37692763</v>
      </c>
    </row>
    <row r="80" spans="1:6" ht="15">
      <c r="A80" s="8" t="s">
        <v>0</v>
      </c>
      <c r="B80" s="9" t="s">
        <v>0</v>
      </c>
      <c r="C80" s="9" t="s">
        <v>0</v>
      </c>
      <c r="D80" s="148">
        <f>SUMIF('Phan tich KL VL,NC,M'!C$157:C$249,B80,'Phan tich KL VL,NC,M'!G$157:G$249)</f>
        <v>0</v>
      </c>
      <c r="E80" s="148">
        <v>0</v>
      </c>
      <c r="F80" s="149"/>
    </row>
    <row r="81" spans="1:6" ht="15">
      <c r="A81" s="8" t="s">
        <v>388</v>
      </c>
      <c r="B81" s="9" t="s">
        <v>389</v>
      </c>
      <c r="C81" s="9" t="s">
        <v>388</v>
      </c>
      <c r="D81" s="148">
        <f>100</f>
        <v>100</v>
      </c>
      <c r="E81" s="148">
        <v>3861.14123</v>
      </c>
      <c r="F81" s="149">
        <f aca="true" t="shared" si="3" ref="F81:F95">D81*E81</f>
        <v>386114.123</v>
      </c>
    </row>
    <row r="82" spans="1:6" ht="15">
      <c r="A82" s="8" t="s">
        <v>2</v>
      </c>
      <c r="B82" s="9" t="s">
        <v>95</v>
      </c>
      <c r="C82" s="9" t="s">
        <v>9</v>
      </c>
      <c r="D82" s="148">
        <f>SUMIF('Phan tich KL VL,NC,M'!C$157:C$249,B82,'Phan tich KL VL,NC,M'!G$157:G$249)</f>
        <v>1.4333144379999998</v>
      </c>
      <c r="E82" s="148">
        <f>'Gia VL'!Q9</f>
        <v>317705.7</v>
      </c>
      <c r="F82" s="149">
        <f t="shared" si="3"/>
        <v>455372.16684489656</v>
      </c>
    </row>
    <row r="83" spans="1:6" ht="15">
      <c r="A83" s="8" t="s">
        <v>15</v>
      </c>
      <c r="B83" s="9" t="s">
        <v>8</v>
      </c>
      <c r="C83" s="9" t="s">
        <v>9</v>
      </c>
      <c r="D83" s="148">
        <f>SUMIF('Phan tich KL VL,NC,M'!C$157:C$249,B83,'Phan tich KL VL,NC,M'!G$157:G$249)</f>
        <v>5.9315549999999995</v>
      </c>
      <c r="E83" s="148">
        <f>'Gia VL'!Q12</f>
        <v>317705.7</v>
      </c>
      <c r="F83" s="149">
        <f t="shared" si="3"/>
        <v>1884488.8333635</v>
      </c>
    </row>
    <row r="84" spans="1:6" ht="15">
      <c r="A84" s="8" t="s">
        <v>21</v>
      </c>
      <c r="B84" s="9" t="s">
        <v>121</v>
      </c>
      <c r="C84" s="9" t="s">
        <v>19</v>
      </c>
      <c r="D84" s="148">
        <f>SUMIF('Phan tich KL VL,NC,M'!C$157:C$249,B84,'Phan tich KL VL,NC,M'!G$157:G$249)</f>
        <v>100.6869</v>
      </c>
      <c r="E84" s="148">
        <f>'Gia VL'!Q20</f>
        <v>288889</v>
      </c>
      <c r="F84" s="149">
        <f t="shared" si="3"/>
        <v>29087337.8541</v>
      </c>
    </row>
    <row r="85" spans="1:6" ht="15">
      <c r="A85" s="8" t="s">
        <v>26</v>
      </c>
      <c r="B85" s="9" t="s">
        <v>10</v>
      </c>
      <c r="C85" s="9" t="s">
        <v>9</v>
      </c>
      <c r="D85" s="148">
        <f>SUMIF('Phan tich KL VL,NC,M'!C$157:C$249,B85,'Phan tich KL VL,NC,M'!G$157:G$249)</f>
        <v>1.714535096</v>
      </c>
      <c r="E85" s="148">
        <f>'Gia VL'!Q26</f>
        <v>9545.45</v>
      </c>
      <c r="F85" s="149">
        <f t="shared" si="3"/>
        <v>16366.009032113203</v>
      </c>
    </row>
    <row r="86" spans="1:6" ht="15">
      <c r="A86" s="8" t="s">
        <v>31</v>
      </c>
      <c r="B86" s="9" t="s">
        <v>153</v>
      </c>
      <c r="C86" s="9" t="s">
        <v>7</v>
      </c>
      <c r="D86" s="148">
        <f>SUMIF('Phan tich KL VL,NC,M'!C$157:C$249,B86,'Phan tich KL VL,NC,M'!G$157:G$249)</f>
        <v>4.8024</v>
      </c>
      <c r="E86" s="148">
        <f>ROUND('Gia VL'!Q28/1000,5)</f>
        <v>87812.037</v>
      </c>
      <c r="F86" s="149">
        <f t="shared" si="3"/>
        <v>421708.52648879995</v>
      </c>
    </row>
    <row r="87" spans="1:6" ht="15">
      <c r="A87" s="8" t="s">
        <v>39</v>
      </c>
      <c r="B87" s="9" t="s">
        <v>64</v>
      </c>
      <c r="C87" s="9" t="s">
        <v>65</v>
      </c>
      <c r="D87" s="148">
        <f>SUMIF('Phan tich KL VL,NC,M'!C$157:C$249,B87,'Phan tich KL VL,NC,M'!G$157:G$249)</f>
        <v>22.420199999999998</v>
      </c>
      <c r="E87" s="148">
        <f>'Gia VL'!Q29</f>
        <v>191077.8</v>
      </c>
      <c r="F87" s="149">
        <f t="shared" si="3"/>
        <v>4284002.491559999</v>
      </c>
    </row>
    <row r="88" spans="1:6" ht="15">
      <c r="A88" s="8" t="s">
        <v>49</v>
      </c>
      <c r="B88" s="9" t="s">
        <v>106</v>
      </c>
      <c r="C88" s="9" t="s">
        <v>65</v>
      </c>
      <c r="D88" s="148">
        <f>SUMIF('Phan tich KL VL,NC,M'!C$157:C$249,B88,'Phan tich KL VL,NC,M'!G$157:G$249)</f>
        <v>25.235286000000002</v>
      </c>
      <c r="E88" s="148">
        <f>'Gia VL'!Q30</f>
        <v>136597.2</v>
      </c>
      <c r="F88" s="149">
        <f t="shared" si="3"/>
        <v>3447069.408799201</v>
      </c>
    </row>
    <row r="89" spans="1:6" ht="15">
      <c r="A89" s="8" t="s">
        <v>56</v>
      </c>
      <c r="B89" s="9" t="s">
        <v>154</v>
      </c>
      <c r="C89" s="9" t="s">
        <v>7</v>
      </c>
      <c r="D89" s="148">
        <f>SUMIF('Phan tich KL VL,NC,M'!C$157:C$249,B89,'Phan tich KL VL,NC,M'!G$157:G$249)</f>
        <v>8.936639999999999</v>
      </c>
      <c r="E89" s="148">
        <f>ROUND('Gia VL'!Q31/1000,5)</f>
        <v>158249.0741</v>
      </c>
      <c r="F89" s="149">
        <f t="shared" si="3"/>
        <v>1414215.0055650237</v>
      </c>
    </row>
    <row r="90" spans="1:6" ht="15">
      <c r="A90" s="8" t="s">
        <v>59</v>
      </c>
      <c r="B90" s="9" t="s">
        <v>66</v>
      </c>
      <c r="C90" s="9" t="s">
        <v>65</v>
      </c>
      <c r="D90" s="148">
        <f>SUMIF('Phan tich KL VL,NC,M'!C$157:C$249,B90,'Phan tich KL VL,NC,M'!G$157:G$249)</f>
        <v>35.423916</v>
      </c>
      <c r="E90" s="148">
        <f>'Gia VL'!Q32</f>
        <v>208100</v>
      </c>
      <c r="F90" s="149">
        <f t="shared" si="3"/>
        <v>7371716.9196</v>
      </c>
    </row>
    <row r="91" spans="1:6" ht="15">
      <c r="A91" s="8" t="s">
        <v>68</v>
      </c>
      <c r="B91" s="9" t="s">
        <v>107</v>
      </c>
      <c r="C91" s="9" t="s">
        <v>65</v>
      </c>
      <c r="D91" s="148">
        <f>SUMIF('Phan tich KL VL,NC,M'!C$157:C$249,B91,'Phan tich KL VL,NC,M'!G$157:G$249)</f>
        <v>40.248684000000004</v>
      </c>
      <c r="E91" s="148">
        <f>'Gia VL'!Q33</f>
        <v>120650.9</v>
      </c>
      <c r="F91" s="149">
        <f t="shared" si="3"/>
        <v>4856039.948415601</v>
      </c>
    </row>
    <row r="92" spans="1:6" ht="15">
      <c r="A92" s="8" t="s">
        <v>71</v>
      </c>
      <c r="B92" s="9" t="s">
        <v>128</v>
      </c>
      <c r="C92" s="9" t="s">
        <v>19</v>
      </c>
      <c r="D92" s="148">
        <f>SUMIF('Phan tich KL VL,NC,M'!C$157:C$249,B92,'Phan tich KL VL,NC,M'!G$157:G$249)</f>
        <v>71.862</v>
      </c>
      <c r="E92" s="148">
        <f>'Gia VL'!Q35</f>
        <v>180000</v>
      </c>
      <c r="F92" s="149">
        <f t="shared" si="3"/>
        <v>12935159.999999998</v>
      </c>
    </row>
    <row r="93" spans="1:6" ht="15">
      <c r="A93" s="8" t="s">
        <v>74</v>
      </c>
      <c r="B93" s="9" t="s">
        <v>6</v>
      </c>
      <c r="C93" s="9" t="s">
        <v>7</v>
      </c>
      <c r="D93" s="148">
        <f>SUMIF('Phan tich KL VL,NC,M'!C$157:C$249,B93,'Phan tich KL VL,NC,M'!G$157:G$249)</f>
        <v>1688.1492819999999</v>
      </c>
      <c r="E93" s="148">
        <f>ROUND('Gia VL'!Q37/1000,5)</f>
        <v>1677.273</v>
      </c>
      <c r="F93" s="149">
        <f t="shared" si="3"/>
        <v>2831487.2106679855</v>
      </c>
    </row>
    <row r="94" spans="1:6" ht="15">
      <c r="A94" s="8" t="s">
        <v>79</v>
      </c>
      <c r="B94" s="9" t="s">
        <v>122</v>
      </c>
      <c r="C94" s="9" t="s">
        <v>7</v>
      </c>
      <c r="D94" s="148">
        <f>SUMIF('Phan tich KL VL,NC,M'!C$157:C$249,B94,'Phan tich KL VL,NC,M'!G$157:G$249)</f>
        <v>64.7985</v>
      </c>
      <c r="E94" s="148">
        <f>ROUND('Gia VL'!Q39/1000,5)</f>
        <v>1677.273</v>
      </c>
      <c r="F94" s="149">
        <f t="shared" si="3"/>
        <v>108684.7744905</v>
      </c>
    </row>
    <row r="95" spans="1:6" ht="15">
      <c r="A95" s="8" t="s">
        <v>82</v>
      </c>
      <c r="B95" s="9" t="s">
        <v>123</v>
      </c>
      <c r="C95" s="9" t="s">
        <v>7</v>
      </c>
      <c r="D95" s="148">
        <f>SUMIF('Phan tich KL VL,NC,M'!C$157:C$249,B95,'Phan tich KL VL,NC,M'!G$157:G$249)</f>
        <v>9.969000000000001</v>
      </c>
      <c r="E95" s="148">
        <f>ROUND('Gia VL'!Q40/1000,5)</f>
        <v>4545</v>
      </c>
      <c r="F95" s="149">
        <f t="shared" si="3"/>
        <v>45309.105</v>
      </c>
    </row>
    <row r="96" spans="1:6" ht="15">
      <c r="A96" s="8" t="s">
        <v>0</v>
      </c>
      <c r="B96" s="9" t="s">
        <v>0</v>
      </c>
      <c r="C96" s="9" t="s">
        <v>0</v>
      </c>
      <c r="D96" s="148">
        <f>SUMIF('Phan tich KL VL,NC,M'!C$157:C$249,B96,'Phan tich KL VL,NC,M'!G$157:G$249)</f>
        <v>0</v>
      </c>
      <c r="E96" s="148">
        <v>0</v>
      </c>
      <c r="F96" s="149"/>
    </row>
    <row r="97" spans="1:6" ht="15.75">
      <c r="A97" s="26" t="s">
        <v>0</v>
      </c>
      <c r="B97" s="27" t="s">
        <v>473</v>
      </c>
      <c r="C97" s="27" t="s">
        <v>0</v>
      </c>
      <c r="D97" s="146">
        <f>SUMIF('Phan tich KL VL,NC,M'!C$157:C$249,B97,'Phan tich KL VL,NC,M'!G$157:G$249)</f>
        <v>0</v>
      </c>
      <c r="E97" s="146">
        <v>0</v>
      </c>
      <c r="F97" s="147">
        <f>SUM(F98:F103)</f>
        <v>29308330.126688</v>
      </c>
    </row>
    <row r="98" spans="1:6" ht="15">
      <c r="A98" s="8" t="s">
        <v>0</v>
      </c>
      <c r="B98" s="9" t="s">
        <v>0</v>
      </c>
      <c r="C98" s="9" t="s">
        <v>0</v>
      </c>
      <c r="D98" s="148">
        <f>SUMIF('Phan tich KL VL,NC,M'!C$157:C$249,B98,'Phan tich KL VL,NC,M'!G$157:G$249)</f>
        <v>0</v>
      </c>
      <c r="E98" s="148">
        <v>0</v>
      </c>
      <c r="F98" s="149"/>
    </row>
    <row r="99" spans="1:6" ht="15">
      <c r="A99" s="8" t="s">
        <v>86</v>
      </c>
      <c r="B99" s="9" t="s">
        <v>25</v>
      </c>
      <c r="C99" s="9" t="s">
        <v>12</v>
      </c>
      <c r="D99" s="148">
        <f>SUMIF('Phan tich KL VL,NC,M'!C$157:C$249,B99,'Phan tich KL VL,NC,M'!G$157:G$249)</f>
        <v>31.116819999999997</v>
      </c>
      <c r="E99" s="148">
        <f>'Gia NC,CM'!P8</f>
        <v>218559.2</v>
      </c>
      <c r="F99" s="149">
        <f>D99*E99</f>
        <v>6800867.285743999</v>
      </c>
    </row>
    <row r="100" spans="1:6" ht="15">
      <c r="A100" s="8" t="s">
        <v>91</v>
      </c>
      <c r="B100" s="9" t="s">
        <v>78</v>
      </c>
      <c r="C100" s="9" t="s">
        <v>12</v>
      </c>
      <c r="D100" s="148">
        <f>SUMIF('Phan tich KL VL,NC,M'!C$157:C$249,B100,'Phan tich KL VL,NC,M'!G$157:G$249)</f>
        <v>24.4146</v>
      </c>
      <c r="E100" s="148">
        <f>'Gia NC,CM'!P10</f>
        <v>239000</v>
      </c>
      <c r="F100" s="149">
        <f>D100*E100</f>
        <v>5835089.4</v>
      </c>
    </row>
    <row r="101" spans="1:6" ht="15">
      <c r="A101" s="8" t="s">
        <v>96</v>
      </c>
      <c r="B101" s="9" t="s">
        <v>38</v>
      </c>
      <c r="C101" s="9" t="s">
        <v>12</v>
      </c>
      <c r="D101" s="148">
        <f>SUMIF('Phan tich KL VL,NC,M'!C$157:C$249,B101,'Phan tich KL VL,NC,M'!G$157:G$249)</f>
        <v>43.598796</v>
      </c>
      <c r="E101" s="148">
        <f>'Gia NC,CM'!P11</f>
        <v>252200</v>
      </c>
      <c r="F101" s="149">
        <f>D101*E101</f>
        <v>10995616.3512</v>
      </c>
    </row>
    <row r="102" spans="1:6" ht="15">
      <c r="A102" s="8" t="s">
        <v>100</v>
      </c>
      <c r="B102" s="9" t="s">
        <v>11</v>
      </c>
      <c r="C102" s="9" t="s">
        <v>12</v>
      </c>
      <c r="D102" s="148">
        <f>SUMIF('Phan tich KL VL,NC,M'!C$157:C$249,B102,'Phan tich KL VL,NC,M'!G$157:G$249)</f>
        <v>20.73552</v>
      </c>
      <c r="E102" s="148">
        <f>'Gia NC,CM'!P12</f>
        <v>273769.7</v>
      </c>
      <c r="F102" s="149">
        <f>D102*E102</f>
        <v>5676757.089744001</v>
      </c>
    </row>
    <row r="103" spans="1:6" ht="15">
      <c r="A103" s="8" t="s">
        <v>0</v>
      </c>
      <c r="B103" s="9" t="s">
        <v>0</v>
      </c>
      <c r="C103" s="9" t="s">
        <v>0</v>
      </c>
      <c r="D103" s="148">
        <f>SUMIF('Phan tich KL VL,NC,M'!C$157:C$249,B103,'Phan tich KL VL,NC,M'!G$157:G$249)</f>
        <v>0</v>
      </c>
      <c r="E103" s="148">
        <v>0</v>
      </c>
      <c r="F103" s="149"/>
    </row>
    <row r="104" spans="1:6" ht="15.75">
      <c r="A104" s="26" t="s">
        <v>0</v>
      </c>
      <c r="B104" s="27" t="s">
        <v>472</v>
      </c>
      <c r="C104" s="27" t="s">
        <v>0</v>
      </c>
      <c r="D104" s="146">
        <f>SUMIF('Phan tich KL VL,NC,M'!C$157:C$249,B104,'Phan tich KL VL,NC,M'!G$157:G$249)</f>
        <v>0</v>
      </c>
      <c r="E104" s="146">
        <v>0</v>
      </c>
      <c r="F104" s="147">
        <f>SUM(F105:F112)</f>
        <v>307507.9251886</v>
      </c>
    </row>
    <row r="105" spans="1:6" ht="15">
      <c r="A105" s="8" t="s">
        <v>0</v>
      </c>
      <c r="B105" s="9" t="s">
        <v>0</v>
      </c>
      <c r="C105" s="9" t="s">
        <v>0</v>
      </c>
      <c r="D105" s="148">
        <f>SUMIF('Phan tich KL VL,NC,M'!C$157:C$249,B105,'Phan tich KL VL,NC,M'!G$157:G$249)</f>
        <v>0</v>
      </c>
      <c r="E105" s="148">
        <v>0</v>
      </c>
      <c r="F105" s="149"/>
    </row>
    <row r="106" spans="1:6" ht="15">
      <c r="A106" s="8" t="s">
        <v>102</v>
      </c>
      <c r="B106" s="9" t="s">
        <v>124</v>
      </c>
      <c r="C106" s="9" t="s">
        <v>14</v>
      </c>
      <c r="D106" s="148">
        <f>SUMIF('Phan tich KL VL,NC,M'!C$157:C$249,B106,'Phan tich KL VL,NC,M'!G$157:G$249)</f>
        <v>3.9876</v>
      </c>
      <c r="E106" s="148">
        <f>'Gia NC,CM'!P13</f>
        <v>27817.3</v>
      </c>
      <c r="F106" s="149">
        <f>D106*E106</f>
        <v>110924.26548</v>
      </c>
    </row>
    <row r="107" spans="1:6" ht="15">
      <c r="A107" s="8" t="s">
        <v>108</v>
      </c>
      <c r="B107" s="9" t="s">
        <v>13</v>
      </c>
      <c r="C107" s="9" t="s">
        <v>14</v>
      </c>
      <c r="D107" s="148">
        <f>SUMIF('Phan tich KL VL,NC,M'!C$157:C$249,B107,'Phan tich KL VL,NC,M'!G$157:G$249)</f>
        <v>0.544252</v>
      </c>
      <c r="E107" s="148">
        <f>'Gia NC,CM'!P15</f>
        <v>292948.6</v>
      </c>
      <c r="F107" s="149">
        <f>D107*E107</f>
        <v>159437.86144719998</v>
      </c>
    </row>
    <row r="108" spans="1:6" ht="15">
      <c r="A108" s="8" t="s">
        <v>111</v>
      </c>
      <c r="B108" s="9" t="s">
        <v>90</v>
      </c>
      <c r="C108" s="9" t="s">
        <v>14</v>
      </c>
      <c r="D108" s="148">
        <f>SUMIF('Phan tich KL VL,NC,M'!C$157:C$249,B108,'Phan tich KL VL,NC,M'!G$157:G$249)</f>
        <v>0.0131</v>
      </c>
      <c r="E108" s="148">
        <f>'Gia NC,CM'!P25</f>
        <v>1064936.4</v>
      </c>
      <c r="F108" s="149">
        <f>D108*E108</f>
        <v>13950.66684</v>
      </c>
    </row>
    <row r="109" spans="1:6" ht="15">
      <c r="A109" s="8" t="s">
        <v>112</v>
      </c>
      <c r="B109" s="9" t="s">
        <v>116</v>
      </c>
      <c r="C109" s="9" t="s">
        <v>14</v>
      </c>
      <c r="D109" s="148">
        <f>SUMIF('Phan tich KL VL,NC,M'!C$157:C$249,B109,'Phan tich KL VL,NC,M'!G$157:G$249)</f>
        <v>0.017946</v>
      </c>
      <c r="E109" s="148">
        <f>'Gia NC,CM'!P26</f>
        <v>1292495.9</v>
      </c>
      <c r="F109" s="149">
        <f>D109*E109</f>
        <v>23195.131421399998</v>
      </c>
    </row>
    <row r="110" spans="1:6" ht="15">
      <c r="A110" s="8" t="s">
        <v>0</v>
      </c>
      <c r="B110" s="9" t="s">
        <v>0</v>
      </c>
      <c r="C110" s="9" t="s">
        <v>0</v>
      </c>
      <c r="D110" s="148">
        <f>SUMIF('Phan tich KL VL,NC,M'!C$157:C$249,B110,'Phan tich KL VL,NC,M'!G$157:G$249)</f>
        <v>0</v>
      </c>
      <c r="E110" s="148">
        <v>0</v>
      </c>
      <c r="F110" s="149"/>
    </row>
    <row r="111" spans="1:6" ht="15.75">
      <c r="A111" s="26" t="s">
        <v>0</v>
      </c>
      <c r="B111" s="27" t="s">
        <v>155</v>
      </c>
      <c r="C111" s="27" t="s">
        <v>0</v>
      </c>
      <c r="D111" s="146">
        <f>SUMIF('Phan tich KL VL,NC,M'!C$249:C$281,B111,'Phan tich KL VL,NC,M'!G$249:G$281)</f>
        <v>0</v>
      </c>
      <c r="E111" s="146">
        <v>0</v>
      </c>
      <c r="F111" s="147"/>
    </row>
    <row r="112" spans="1:6" ht="15">
      <c r="A112" s="8" t="s">
        <v>0</v>
      </c>
      <c r="B112" s="9" t="s">
        <v>0</v>
      </c>
      <c r="C112" s="9" t="s">
        <v>0</v>
      </c>
      <c r="D112" s="148">
        <f>SUMIF('Phan tich KL VL,NC,M'!C$249:C$281,B112,'Phan tich KL VL,NC,M'!G$249:G$281)</f>
        <v>0</v>
      </c>
      <c r="E112" s="148">
        <v>0</v>
      </c>
      <c r="F112" s="149"/>
    </row>
    <row r="113" spans="1:6" ht="15.75">
      <c r="A113" s="26" t="s">
        <v>0</v>
      </c>
      <c r="B113" s="27" t="s">
        <v>474</v>
      </c>
      <c r="C113" s="27" t="s">
        <v>0</v>
      </c>
      <c r="D113" s="146">
        <f>SUMIF('Phan tich KL VL,NC,M'!C$249:C$281,B113,'Phan tich KL VL,NC,M'!G$249:G$281)</f>
        <v>0</v>
      </c>
      <c r="E113" s="146">
        <v>0</v>
      </c>
      <c r="F113" s="147">
        <f>SUM(F114:F124)</f>
        <v>45099569.38411884</v>
      </c>
    </row>
    <row r="114" spans="1:6" ht="15">
      <c r="A114" s="8" t="s">
        <v>0</v>
      </c>
      <c r="B114" s="9" t="s">
        <v>0</v>
      </c>
      <c r="C114" s="9" t="s">
        <v>0</v>
      </c>
      <c r="D114" s="148">
        <f>SUMIF('Phan tich KL VL,NC,M'!C$249:C$281,B114,'Phan tich KL VL,NC,M'!G$249:G$281)</f>
        <v>0</v>
      </c>
      <c r="E114" s="148">
        <v>0</v>
      </c>
      <c r="F114" s="149"/>
    </row>
    <row r="115" spans="1:6" ht="15">
      <c r="A115" s="8" t="s">
        <v>388</v>
      </c>
      <c r="B115" s="9" t="s">
        <v>389</v>
      </c>
      <c r="C115" s="9" t="s">
        <v>388</v>
      </c>
      <c r="D115" s="148">
        <f>100</f>
        <v>100</v>
      </c>
      <c r="E115" s="148">
        <v>22.59241</v>
      </c>
      <c r="F115" s="149">
        <f aca="true" t="shared" si="4" ref="F115:F123">D115*E115</f>
        <v>2259.241</v>
      </c>
    </row>
    <row r="116" spans="1:6" ht="15">
      <c r="A116" s="8" t="s">
        <v>2</v>
      </c>
      <c r="B116" s="9" t="s">
        <v>181</v>
      </c>
      <c r="C116" s="9" t="s">
        <v>175</v>
      </c>
      <c r="D116" s="148">
        <f>SUMIF('Phan tich KL VL,NC,M'!C$249:C$281,B116,'Phan tich KL VL,NC,M'!G$249:G$281)</f>
        <v>1</v>
      </c>
      <c r="E116" s="148">
        <f>'Gia VL'!Q8</f>
        <v>450000</v>
      </c>
      <c r="F116" s="149">
        <f t="shared" si="4"/>
        <v>450000</v>
      </c>
    </row>
    <row r="117" spans="1:6" ht="15">
      <c r="A117" s="8" t="s">
        <v>15</v>
      </c>
      <c r="B117" s="9" t="s">
        <v>95</v>
      </c>
      <c r="C117" s="9" t="s">
        <v>9</v>
      </c>
      <c r="D117" s="148">
        <f>SUMIF('Phan tich KL VL,NC,M'!C$249:C$281,B117,'Phan tich KL VL,NC,M'!G$249:G$281)</f>
        <v>0.05785728</v>
      </c>
      <c r="E117" s="148">
        <f>'Gia VL'!Q9</f>
        <v>317705.7</v>
      </c>
      <c r="F117" s="149">
        <f t="shared" si="4"/>
        <v>18381.587642496</v>
      </c>
    </row>
    <row r="118" spans="1:6" ht="15">
      <c r="A118" s="8" t="s">
        <v>21</v>
      </c>
      <c r="B118" s="9" t="s">
        <v>171</v>
      </c>
      <c r="C118" s="9" t="s">
        <v>19</v>
      </c>
      <c r="D118" s="148">
        <f>SUMIF('Phan tich KL VL,NC,M'!C$249:C$281,B118,'Phan tich KL VL,NC,M'!G$249:G$281)</f>
        <v>11.48</v>
      </c>
      <c r="E118" s="148">
        <f>'Gia VL'!Q18</f>
        <v>2389335</v>
      </c>
      <c r="F118" s="149">
        <f t="shared" si="4"/>
        <v>27429565.8</v>
      </c>
    </row>
    <row r="119" spans="1:6" ht="15">
      <c r="A119" s="8" t="s">
        <v>26</v>
      </c>
      <c r="B119" s="9" t="s">
        <v>10</v>
      </c>
      <c r="C119" s="9" t="s">
        <v>9</v>
      </c>
      <c r="D119" s="148">
        <f>SUMIF('Phan tich KL VL,NC,M'!C$249:C$281,B119,'Phan tich KL VL,NC,M'!G$249:G$281)</f>
        <v>0.01387776</v>
      </c>
      <c r="E119" s="148">
        <f>'Gia VL'!Q26</f>
        <v>9545.45</v>
      </c>
      <c r="F119" s="149">
        <f t="shared" si="4"/>
        <v>132.469464192</v>
      </c>
    </row>
    <row r="120" spans="1:6" ht="15">
      <c r="A120" s="8" t="s">
        <v>31</v>
      </c>
      <c r="B120" s="9" t="s">
        <v>176</v>
      </c>
      <c r="C120" s="9" t="s">
        <v>175</v>
      </c>
      <c r="D120" s="148">
        <f>SUMIF('Phan tich KL VL,NC,M'!C$249:C$281,B120,'Phan tich KL VL,NC,M'!G$249:G$281)</f>
        <v>8</v>
      </c>
      <c r="E120" s="148">
        <f>'Gia VL'!Q27</f>
        <v>2121800</v>
      </c>
      <c r="F120" s="149">
        <f t="shared" si="4"/>
        <v>16974400</v>
      </c>
    </row>
    <row r="121" spans="1:6" ht="15">
      <c r="A121" s="8" t="s">
        <v>39</v>
      </c>
      <c r="B121" s="9" t="s">
        <v>106</v>
      </c>
      <c r="C121" s="9" t="s">
        <v>65</v>
      </c>
      <c r="D121" s="148">
        <f>SUMIF('Phan tich KL VL,NC,M'!C$249:C$281,B121,'Phan tich KL VL,NC,M'!G$249:G$281)</f>
        <v>0.60672</v>
      </c>
      <c r="E121" s="148">
        <f>'Gia VL'!Q30</f>
        <v>136597.2</v>
      </c>
      <c r="F121" s="149">
        <f t="shared" si="4"/>
        <v>82876.25318400002</v>
      </c>
    </row>
    <row r="122" spans="1:6" ht="15">
      <c r="A122" s="8" t="s">
        <v>49</v>
      </c>
      <c r="B122" s="9" t="s">
        <v>107</v>
      </c>
      <c r="C122" s="9" t="s">
        <v>65</v>
      </c>
      <c r="D122" s="148">
        <f>SUMIF('Phan tich KL VL,NC,M'!C$249:C$281,B122,'Phan tich KL VL,NC,M'!G$249:G$281)</f>
        <v>0.96768</v>
      </c>
      <c r="E122" s="148">
        <f>'Gia VL'!Q33</f>
        <v>120650.9</v>
      </c>
      <c r="F122" s="149">
        <f t="shared" si="4"/>
        <v>116751.46291199999</v>
      </c>
    </row>
    <row r="123" spans="1:6" ht="15">
      <c r="A123" s="8" t="s">
        <v>56</v>
      </c>
      <c r="B123" s="9" t="s">
        <v>6</v>
      </c>
      <c r="C123" s="9" t="s">
        <v>7</v>
      </c>
      <c r="D123" s="148">
        <f>SUMIF('Phan tich KL VL,NC,M'!C$249:C$281,B123,'Phan tich KL VL,NC,M'!G$249:G$281)</f>
        <v>15.02592</v>
      </c>
      <c r="E123" s="148">
        <f>ROUND('Gia VL'!Q37/1000,5)</f>
        <v>1677.273</v>
      </c>
      <c r="F123" s="149">
        <f t="shared" si="4"/>
        <v>25202.56991616</v>
      </c>
    </row>
    <row r="124" spans="1:6" ht="15">
      <c r="A124" s="8" t="s">
        <v>0</v>
      </c>
      <c r="B124" s="9" t="s">
        <v>0</v>
      </c>
      <c r="C124" s="9" t="s">
        <v>0</v>
      </c>
      <c r="D124" s="148">
        <f>SUMIF('Phan tich KL VL,NC,M'!C$249:C$281,B124,'Phan tich KL VL,NC,M'!G$249:G$281)</f>
        <v>0</v>
      </c>
      <c r="E124" s="148">
        <v>0</v>
      </c>
      <c r="F124" s="149"/>
    </row>
    <row r="125" spans="1:6" ht="15.75">
      <c r="A125" s="26" t="s">
        <v>0</v>
      </c>
      <c r="B125" s="27" t="s">
        <v>473</v>
      </c>
      <c r="C125" s="27" t="s">
        <v>0</v>
      </c>
      <c r="D125" s="146">
        <f>SUMIF('Phan tich KL VL,NC,M'!C$249:C$281,B125,'Phan tich KL VL,NC,M'!G$249:G$281)</f>
        <v>0</v>
      </c>
      <c r="E125" s="146">
        <v>0</v>
      </c>
      <c r="F125" s="147">
        <f>SUM(F126:F130)</f>
        <v>1123138.672</v>
      </c>
    </row>
    <row r="126" spans="1:6" ht="15">
      <c r="A126" s="8" t="s">
        <v>0</v>
      </c>
      <c r="B126" s="9" t="s">
        <v>0</v>
      </c>
      <c r="C126" s="9" t="s">
        <v>0</v>
      </c>
      <c r="D126" s="148">
        <f>SUMIF('Phan tich KL VL,NC,M'!C$249:C$281,B126,'Phan tich KL VL,NC,M'!G$249:G$281)</f>
        <v>0</v>
      </c>
      <c r="E126" s="148">
        <v>0</v>
      </c>
      <c r="F126" s="149"/>
    </row>
    <row r="127" spans="1:6" ht="15">
      <c r="A127" s="8" t="s">
        <v>59</v>
      </c>
      <c r="B127" s="9" t="s">
        <v>78</v>
      </c>
      <c r="C127" s="9" t="s">
        <v>12</v>
      </c>
      <c r="D127" s="148">
        <f>SUMIF('Phan tich KL VL,NC,M'!C$249:C$281,B127,'Phan tich KL VL,NC,M'!G$249:G$281)</f>
        <v>0.6092000000000001</v>
      </c>
      <c r="E127" s="148">
        <f>'Gia NC,CM'!P10</f>
        <v>239000</v>
      </c>
      <c r="F127" s="149">
        <f>D127*E127</f>
        <v>145598.80000000002</v>
      </c>
    </row>
    <row r="128" spans="1:6" ht="15">
      <c r="A128" s="8" t="s">
        <v>68</v>
      </c>
      <c r="B128" s="9" t="s">
        <v>38</v>
      </c>
      <c r="C128" s="9" t="s">
        <v>12</v>
      </c>
      <c r="D128" s="148">
        <f>SUMIF('Phan tich KL VL,NC,M'!C$249:C$281,B128,'Phan tich KL VL,NC,M'!G$249:G$281)</f>
        <v>1.79184</v>
      </c>
      <c r="E128" s="148">
        <f>'Gia NC,CM'!P11</f>
        <v>252200</v>
      </c>
      <c r="F128" s="149">
        <f>D128*E128</f>
        <v>451902.048</v>
      </c>
    </row>
    <row r="129" spans="1:6" ht="15">
      <c r="A129" s="8" t="s">
        <v>71</v>
      </c>
      <c r="B129" s="9" t="s">
        <v>11</v>
      </c>
      <c r="C129" s="9" t="s">
        <v>12</v>
      </c>
      <c r="D129" s="148">
        <f>SUMIF('Phan tich KL VL,NC,M'!C$249:C$281,B129,'Phan tich KL VL,NC,M'!G$249:G$281)</f>
        <v>1.92</v>
      </c>
      <c r="E129" s="148">
        <f>'Gia NC,CM'!P12</f>
        <v>273769.7</v>
      </c>
      <c r="F129" s="149">
        <f>D129*E129</f>
        <v>525637.824</v>
      </c>
    </row>
    <row r="130" spans="1:6" ht="15">
      <c r="A130" s="8" t="s">
        <v>0</v>
      </c>
      <c r="B130" s="9" t="s">
        <v>0</v>
      </c>
      <c r="C130" s="9" t="s">
        <v>0</v>
      </c>
      <c r="D130" s="148">
        <f>SUMIF('Phan tich KL VL,NC,M'!C$249:C$281,B130,'Phan tich KL VL,NC,M'!G$249:G$281)</f>
        <v>0</v>
      </c>
      <c r="E130" s="148">
        <v>0</v>
      </c>
      <c r="F130" s="149"/>
    </row>
    <row r="131" spans="1:6" ht="15.75">
      <c r="A131" s="26" t="s">
        <v>0</v>
      </c>
      <c r="B131" s="27" t="s">
        <v>472</v>
      </c>
      <c r="C131" s="27" t="s">
        <v>0</v>
      </c>
      <c r="D131" s="146">
        <f>SUMIF('Phan tich KL VL,NC,M'!C$249:C$281,B131,'Phan tich KL VL,NC,M'!G$249:G$281)</f>
        <v>0</v>
      </c>
      <c r="E131" s="146">
        <v>0</v>
      </c>
      <c r="F131" s="147">
        <f>SUM(F132:F136)</f>
        <v>2249.845248</v>
      </c>
    </row>
    <row r="132" spans="1:6" ht="15">
      <c r="A132" s="8" t="s">
        <v>0</v>
      </c>
      <c r="B132" s="9" t="s">
        <v>0</v>
      </c>
      <c r="C132" s="9" t="s">
        <v>0</v>
      </c>
      <c r="D132" s="148">
        <f>SUMIF('Phan tich KL VL,NC,M'!C$249:C$281,B132,'Phan tich KL VL,NC,M'!G$249:G$281)</f>
        <v>0</v>
      </c>
      <c r="E132" s="148">
        <v>0</v>
      </c>
      <c r="F132" s="149"/>
    </row>
    <row r="133" spans="1:6" ht="15">
      <c r="A133" s="8" t="s">
        <v>74</v>
      </c>
      <c r="B133" s="9" t="s">
        <v>13</v>
      </c>
      <c r="C133" s="9" t="s">
        <v>14</v>
      </c>
      <c r="D133" s="148">
        <f>SUMIF('Phan tich KL VL,NC,M'!C$249:C$281,B133,'Phan tich KL VL,NC,M'!G$249:G$281)</f>
        <v>0.00768</v>
      </c>
      <c r="E133" s="148">
        <f>'Gia NC,CM'!P15</f>
        <v>292948.6</v>
      </c>
      <c r="F133" s="149">
        <f>D133*E133</f>
        <v>2249.845248</v>
      </c>
    </row>
    <row r="134" spans="1:6" ht="15">
      <c r="A134" s="8" t="s">
        <v>0</v>
      </c>
      <c r="B134" s="9" t="s">
        <v>0</v>
      </c>
      <c r="C134" s="9" t="s">
        <v>0</v>
      </c>
      <c r="D134" s="148">
        <f>SUMIF('Phan tich KL VL,NC,M'!C$249:C$281,B134,'Phan tich KL VL,NC,M'!G$249:G$281)</f>
        <v>0</v>
      </c>
      <c r="E134" s="148">
        <v>0</v>
      </c>
      <c r="F134" s="149"/>
    </row>
    <row r="135" spans="1:6" ht="15.75">
      <c r="A135" s="26" t="s">
        <v>0</v>
      </c>
      <c r="B135" s="27" t="s">
        <v>182</v>
      </c>
      <c r="C135" s="27" t="s">
        <v>0</v>
      </c>
      <c r="D135" s="146">
        <f>SUMIF('Phan tich KL VL,NC,M'!C$281:C$426,B135,'Phan tich KL VL,NC,M'!G$281:G$426)</f>
        <v>0</v>
      </c>
      <c r="E135" s="146">
        <v>0</v>
      </c>
      <c r="F135" s="147"/>
    </row>
    <row r="136" spans="1:6" ht="15">
      <c r="A136" s="8" t="s">
        <v>0</v>
      </c>
      <c r="B136" s="9" t="s">
        <v>0</v>
      </c>
      <c r="C136" s="9" t="s">
        <v>0</v>
      </c>
      <c r="D136" s="148">
        <f>SUMIF('Phan tich KL VL,NC,M'!C$281:C$426,B136,'Phan tich KL VL,NC,M'!G$281:G$426)</f>
        <v>0</v>
      </c>
      <c r="E136" s="148">
        <v>0</v>
      </c>
      <c r="F136" s="149"/>
    </row>
    <row r="137" spans="1:6" ht="15.75">
      <c r="A137" s="26" t="s">
        <v>0</v>
      </c>
      <c r="B137" s="27" t="s">
        <v>474</v>
      </c>
      <c r="C137" s="27" t="s">
        <v>0</v>
      </c>
      <c r="D137" s="146">
        <f>SUMIF('Phan tich KL VL,NC,M'!C$281:C$426,B137,'Phan tich KL VL,NC,M'!G$281:G$426)</f>
        <v>0</v>
      </c>
      <c r="E137" s="146">
        <v>0</v>
      </c>
      <c r="F137" s="147">
        <f>SUM(F138:F156)</f>
        <v>7951431.786648121</v>
      </c>
    </row>
    <row r="138" spans="1:6" ht="15">
      <c r="A138" s="8" t="s">
        <v>0</v>
      </c>
      <c r="B138" s="9" t="s">
        <v>0</v>
      </c>
      <c r="C138" s="9" t="s">
        <v>0</v>
      </c>
      <c r="D138" s="148">
        <f>SUMIF('Phan tich KL VL,NC,M'!C$281:C$426,B138,'Phan tich KL VL,NC,M'!G$281:G$426)</f>
        <v>0</v>
      </c>
      <c r="E138" s="148">
        <v>0</v>
      </c>
      <c r="F138" s="149"/>
    </row>
    <row r="139" spans="1:6" ht="15">
      <c r="A139" s="8" t="s">
        <v>388</v>
      </c>
      <c r="B139" s="9" t="s">
        <v>389</v>
      </c>
      <c r="C139" s="9" t="s">
        <v>388</v>
      </c>
      <c r="D139" s="148">
        <f>100</f>
        <v>100</v>
      </c>
      <c r="E139" s="148">
        <v>1458.07281</v>
      </c>
      <c r="F139" s="149">
        <f aca="true" t="shared" si="5" ref="F139:F155">D139*E139</f>
        <v>145807.281</v>
      </c>
    </row>
    <row r="140" spans="1:6" ht="15">
      <c r="A140" s="8" t="s">
        <v>2</v>
      </c>
      <c r="B140" s="9" t="s">
        <v>95</v>
      </c>
      <c r="C140" s="9" t="s">
        <v>9</v>
      </c>
      <c r="D140" s="148">
        <f>SUMIF('Phan tich KL VL,NC,M'!C$281:C$426,B140,'Phan tich KL VL,NC,M'!G$281:G$426)</f>
        <v>0.25818811199999997</v>
      </c>
      <c r="E140" s="148">
        <f>'Gia VL'!Q9</f>
        <v>317705.7</v>
      </c>
      <c r="F140" s="149">
        <f t="shared" si="5"/>
        <v>82027.8348546384</v>
      </c>
    </row>
    <row r="141" spans="1:6" ht="15">
      <c r="A141" s="8" t="s">
        <v>15</v>
      </c>
      <c r="B141" s="9" t="s">
        <v>8</v>
      </c>
      <c r="C141" s="9" t="s">
        <v>9</v>
      </c>
      <c r="D141" s="148">
        <f>SUMIF('Phan tich KL VL,NC,M'!C$281:C$426,B141,'Phan tich KL VL,NC,M'!G$281:G$426)</f>
        <v>0.89371856</v>
      </c>
      <c r="E141" s="148">
        <f>'Gia VL'!Q12</f>
        <v>317705.7</v>
      </c>
      <c r="F141" s="149">
        <f t="shared" si="5"/>
        <v>283939.48070779204</v>
      </c>
    </row>
    <row r="142" spans="1:6" ht="15">
      <c r="A142" s="8" t="s">
        <v>21</v>
      </c>
      <c r="B142" s="9" t="s">
        <v>44</v>
      </c>
      <c r="C142" s="9" t="s">
        <v>9</v>
      </c>
      <c r="D142" s="148">
        <f>SUMIF('Phan tich KL VL,NC,M'!C$281:C$426,B142,'Phan tich KL VL,NC,M'!G$281:G$426)</f>
        <v>1.7098781600000004</v>
      </c>
      <c r="E142" s="148">
        <f>'Gia VL'!Q15</f>
        <v>363160.7</v>
      </c>
      <c r="F142" s="149">
        <f t="shared" si="5"/>
        <v>620960.5495003122</v>
      </c>
    </row>
    <row r="143" spans="1:6" ht="15">
      <c r="A143" s="8" t="s">
        <v>26</v>
      </c>
      <c r="B143" s="9" t="s">
        <v>206</v>
      </c>
      <c r="C143" s="9" t="s">
        <v>7</v>
      </c>
      <c r="D143" s="148">
        <f>SUMIF('Phan tich KL VL,NC,M'!C$281:C$426,B143,'Phan tich KL VL,NC,M'!G$281:G$426)</f>
        <v>0.77136</v>
      </c>
      <c r="E143" s="148">
        <f>ROUND('Gia VL'!Q19/1000,5)</f>
        <v>16250</v>
      </c>
      <c r="F143" s="149">
        <f t="shared" si="5"/>
        <v>12534.6</v>
      </c>
    </row>
    <row r="144" spans="1:6" ht="15">
      <c r="A144" s="8" t="s">
        <v>31</v>
      </c>
      <c r="B144" s="9" t="s">
        <v>53</v>
      </c>
      <c r="C144" s="9" t="s">
        <v>54</v>
      </c>
      <c r="D144" s="148">
        <f>SUMIF('Phan tich KL VL,NC,M'!C$281:C$426,B144,'Phan tich KL VL,NC,M'!G$281:G$426)</f>
        <v>1563.408</v>
      </c>
      <c r="E144" s="148">
        <f>'Gia VL'!Q21</f>
        <v>1622.5</v>
      </c>
      <c r="F144" s="149">
        <f t="shared" si="5"/>
        <v>2536629.48</v>
      </c>
    </row>
    <row r="145" spans="1:6" ht="15">
      <c r="A145" s="8" t="s">
        <v>39</v>
      </c>
      <c r="B145" s="9" t="s">
        <v>36</v>
      </c>
      <c r="C145" s="9" t="s">
        <v>9</v>
      </c>
      <c r="D145" s="148">
        <f>SUMIF('Phan tich KL VL,NC,M'!C$281:C$426,B145,'Phan tich KL VL,NC,M'!G$281:G$426)</f>
        <v>0.09645480000000002</v>
      </c>
      <c r="E145" s="148">
        <f>'Gia VL'!Q23</f>
        <v>4090909.09</v>
      </c>
      <c r="F145" s="149">
        <f t="shared" si="5"/>
        <v>394587.81809413206</v>
      </c>
    </row>
    <row r="146" spans="1:6" ht="15">
      <c r="A146" s="8" t="s">
        <v>49</v>
      </c>
      <c r="B146" s="9" t="s">
        <v>34</v>
      </c>
      <c r="C146" s="9" t="s">
        <v>9</v>
      </c>
      <c r="D146" s="148">
        <f>SUMIF('Phan tich KL VL,NC,M'!C$281:C$426,B146,'Phan tich KL VL,NC,M'!G$281:G$426)</f>
        <v>0.10321999999999999</v>
      </c>
      <c r="E146" s="148">
        <f>'Gia VL'!Q24</f>
        <v>4090909.09</v>
      </c>
      <c r="F146" s="149">
        <f t="shared" si="5"/>
        <v>422263.63626979996</v>
      </c>
    </row>
    <row r="147" spans="1:6" ht="15">
      <c r="A147" s="8" t="s">
        <v>56</v>
      </c>
      <c r="B147" s="9" t="s">
        <v>35</v>
      </c>
      <c r="C147" s="9" t="s">
        <v>9</v>
      </c>
      <c r="D147" s="148">
        <f>SUMIF('Phan tich KL VL,NC,M'!C$281:C$426,B147,'Phan tich KL VL,NC,M'!G$281:G$426)</f>
        <v>0.0184596</v>
      </c>
      <c r="E147" s="148">
        <f>'Gia VL'!Q25</f>
        <v>4090909.09</v>
      </c>
      <c r="F147" s="149">
        <f t="shared" si="5"/>
        <v>75516.545437764</v>
      </c>
    </row>
    <row r="148" spans="1:6" ht="15">
      <c r="A148" s="8" t="s">
        <v>59</v>
      </c>
      <c r="B148" s="9" t="s">
        <v>10</v>
      </c>
      <c r="C148" s="9" t="s">
        <v>9</v>
      </c>
      <c r="D148" s="148">
        <f>SUMIF('Phan tich KL VL,NC,M'!C$281:C$426,B148,'Phan tich KL VL,NC,M'!G$281:G$426)</f>
        <v>0.8354283639999999</v>
      </c>
      <c r="E148" s="148">
        <f>'Gia VL'!Q26</f>
        <v>9545.45</v>
      </c>
      <c r="F148" s="149">
        <f t="shared" si="5"/>
        <v>7974.539677143799</v>
      </c>
    </row>
    <row r="149" spans="1:6" ht="15">
      <c r="A149" s="8" t="s">
        <v>68</v>
      </c>
      <c r="B149" s="9" t="s">
        <v>205</v>
      </c>
      <c r="C149" s="9" t="s">
        <v>7</v>
      </c>
      <c r="D149" s="148">
        <f>SUMIF('Phan tich KL VL,NC,M'!C$281:C$426,B149,'Phan tich KL VL,NC,M'!G$281:G$426)</f>
        <v>48.24</v>
      </c>
      <c r="E149" s="148">
        <f>ROUND('Gia VL'!Q34/1000,5)</f>
        <v>16250</v>
      </c>
      <c r="F149" s="149">
        <f t="shared" si="5"/>
        <v>783900</v>
      </c>
    </row>
    <row r="150" spans="1:6" ht="15">
      <c r="A150" s="8" t="s">
        <v>71</v>
      </c>
      <c r="B150" s="9" t="s">
        <v>6</v>
      </c>
      <c r="C150" s="9" t="s">
        <v>7</v>
      </c>
      <c r="D150" s="148">
        <f>SUMIF('Phan tich KL VL,NC,M'!C$281:C$426,B150,'Phan tich KL VL,NC,M'!G$281:G$426)</f>
        <v>265.32350399999996</v>
      </c>
      <c r="E150" s="148">
        <f>ROUND('Gia VL'!Q37/1000,5)</f>
        <v>1677.273</v>
      </c>
      <c r="F150" s="149">
        <f t="shared" si="5"/>
        <v>445019.9495245919</v>
      </c>
    </row>
    <row r="151" spans="1:6" ht="15">
      <c r="A151" s="8" t="s">
        <v>74</v>
      </c>
      <c r="B151" s="9" t="s">
        <v>43</v>
      </c>
      <c r="C151" s="9" t="s">
        <v>7</v>
      </c>
      <c r="D151" s="148">
        <f>SUMIF('Phan tich KL VL,NC,M'!C$281:C$426,B151,'Phan tich KL VL,NC,M'!G$281:G$426)</f>
        <v>203</v>
      </c>
      <c r="E151" s="148">
        <f>ROUND('Gia VL'!Q38/1000,5)</f>
        <v>1613.636</v>
      </c>
      <c r="F151" s="149">
        <f t="shared" si="5"/>
        <v>327568.108</v>
      </c>
    </row>
    <row r="152" spans="1:6" ht="15">
      <c r="A152" s="8" t="s">
        <v>79</v>
      </c>
      <c r="B152" s="9" t="s">
        <v>122</v>
      </c>
      <c r="C152" s="9" t="s">
        <v>7</v>
      </c>
      <c r="D152" s="148">
        <f>SUMIF('Phan tich KL VL,NC,M'!C$281:C$426,B152,'Phan tich KL VL,NC,M'!G$281:G$426)</f>
        <v>511.37198</v>
      </c>
      <c r="E152" s="148">
        <f>ROUND('Gia VL'!Q39/1000,5)</f>
        <v>1677.273</v>
      </c>
      <c r="F152" s="149">
        <f t="shared" si="5"/>
        <v>857710.4150105399</v>
      </c>
    </row>
    <row r="153" spans="1:6" ht="15">
      <c r="A153" s="8" t="s">
        <v>82</v>
      </c>
      <c r="B153" s="9" t="s">
        <v>37</v>
      </c>
      <c r="C153" s="9" t="s">
        <v>7</v>
      </c>
      <c r="D153" s="148">
        <f>SUMIF('Phan tich KL VL,NC,M'!C$281:C$426,B153,'Phan tich KL VL,NC,M'!G$281:G$426)</f>
        <v>1.623072</v>
      </c>
      <c r="E153" s="148">
        <f>ROUND('Gia VL'!Q41/1000,5)</f>
        <v>16250</v>
      </c>
      <c r="F153" s="149">
        <f t="shared" si="5"/>
        <v>26374.920000000002</v>
      </c>
    </row>
    <row r="154" spans="1:6" ht="15">
      <c r="A154" s="8" t="s">
        <v>86</v>
      </c>
      <c r="B154" s="9" t="s">
        <v>199</v>
      </c>
      <c r="C154" s="9" t="s">
        <v>9</v>
      </c>
      <c r="D154" s="148">
        <f>SUMIF('Phan tich KL VL,NC,M'!C$281:C$426,B154,'Phan tich KL VL,NC,M'!G$281:G$426)</f>
        <v>1.9090706199999996</v>
      </c>
      <c r="E154" s="148">
        <f>'Gia VL'!Q42</f>
        <v>351581.3</v>
      </c>
      <c r="F154" s="149">
        <f t="shared" si="5"/>
        <v>671193.5303714059</v>
      </c>
    </row>
    <row r="155" spans="1:6" ht="15">
      <c r="A155" s="8" t="s">
        <v>91</v>
      </c>
      <c r="B155" s="9" t="s">
        <v>45</v>
      </c>
      <c r="C155" s="9" t="s">
        <v>9</v>
      </c>
      <c r="D155" s="148">
        <f>SUMIF('Phan tich KL VL,NC,M'!C$281:C$426,B155,'Phan tich KL VL,NC,M'!G$281:G$426)</f>
        <v>0.894</v>
      </c>
      <c r="E155" s="148">
        <f>'Gia VL'!Q46</f>
        <v>287945.3</v>
      </c>
      <c r="F155" s="149">
        <f t="shared" si="5"/>
        <v>257423.0982</v>
      </c>
    </row>
    <row r="156" spans="1:6" ht="15">
      <c r="A156" s="8" t="s">
        <v>0</v>
      </c>
      <c r="B156" s="9" t="s">
        <v>0</v>
      </c>
      <c r="C156" s="9" t="s">
        <v>0</v>
      </c>
      <c r="D156" s="148">
        <f>SUMIF('Phan tich KL VL,NC,M'!C$281:C$426,B156,'Phan tich KL VL,NC,M'!G$281:G$426)</f>
        <v>0</v>
      </c>
      <c r="E156" s="148">
        <v>0</v>
      </c>
      <c r="F156" s="149"/>
    </row>
    <row r="157" spans="1:6" ht="15.75">
      <c r="A157" s="26" t="s">
        <v>0</v>
      </c>
      <c r="B157" s="27" t="s">
        <v>473</v>
      </c>
      <c r="C157" s="27" t="s">
        <v>0</v>
      </c>
      <c r="D157" s="146">
        <f>SUMIF('Phan tich KL VL,NC,M'!C$281:C$426,B157,'Phan tich KL VL,NC,M'!G$281:G$426)</f>
        <v>0</v>
      </c>
      <c r="E157" s="146">
        <v>0</v>
      </c>
      <c r="F157" s="147">
        <f>SUM(F158:F163)</f>
        <v>4911752.369100001</v>
      </c>
    </row>
    <row r="158" spans="1:6" ht="15">
      <c r="A158" s="8" t="s">
        <v>0</v>
      </c>
      <c r="B158" s="9" t="s">
        <v>0</v>
      </c>
      <c r="C158" s="9" t="s">
        <v>0</v>
      </c>
      <c r="D158" s="148">
        <f>SUMIF('Phan tich KL VL,NC,M'!C$281:C$426,B158,'Phan tich KL VL,NC,M'!G$281:G$426)</f>
        <v>0</v>
      </c>
      <c r="E158" s="148">
        <v>0</v>
      </c>
      <c r="F158" s="149"/>
    </row>
    <row r="159" spans="1:6" ht="15">
      <c r="A159" s="8" t="s">
        <v>96</v>
      </c>
      <c r="B159" s="9" t="s">
        <v>25</v>
      </c>
      <c r="C159" s="9" t="s">
        <v>12</v>
      </c>
      <c r="D159" s="148">
        <f>SUMIF('Phan tich KL VL,NC,M'!C$281:C$426,B159,'Phan tich KL VL,NC,M'!G$281:G$426)</f>
        <v>0.53613</v>
      </c>
      <c r="E159" s="148">
        <f>'Gia NC,CM'!P8</f>
        <v>218559.2</v>
      </c>
      <c r="F159" s="149">
        <f>D159*E159</f>
        <v>117176.14389600001</v>
      </c>
    </row>
    <row r="160" spans="1:6" ht="15">
      <c r="A160" s="8" t="s">
        <v>100</v>
      </c>
      <c r="B160" s="9" t="s">
        <v>46</v>
      </c>
      <c r="C160" s="9" t="s">
        <v>12</v>
      </c>
      <c r="D160" s="148">
        <f>SUMIF('Phan tich KL VL,NC,M'!C$281:C$426,B160,'Phan tich KL VL,NC,M'!G$281:G$426)</f>
        <v>5.97468</v>
      </c>
      <c r="E160" s="148">
        <f>'Gia NC,CM'!P9</f>
        <v>230630.3</v>
      </c>
      <c r="F160" s="149">
        <f>D160*E160</f>
        <v>1377942.240804</v>
      </c>
    </row>
    <row r="161" spans="1:6" ht="15">
      <c r="A161" s="8" t="s">
        <v>102</v>
      </c>
      <c r="B161" s="9" t="s">
        <v>38</v>
      </c>
      <c r="C161" s="9" t="s">
        <v>12</v>
      </c>
      <c r="D161" s="148">
        <f>SUMIF('Phan tich KL VL,NC,M'!C$281:C$426,B161,'Phan tich KL VL,NC,M'!G$281:G$426)</f>
        <v>13.152188000000002</v>
      </c>
      <c r="E161" s="148">
        <f>'Gia NC,CM'!P11</f>
        <v>252200</v>
      </c>
      <c r="F161" s="149">
        <f>D161*E161</f>
        <v>3316981.8136000005</v>
      </c>
    </row>
    <row r="162" spans="1:6" ht="15">
      <c r="A162" s="8" t="s">
        <v>108</v>
      </c>
      <c r="B162" s="9" t="s">
        <v>11</v>
      </c>
      <c r="C162" s="9" t="s">
        <v>12</v>
      </c>
      <c r="D162" s="148">
        <f>SUMIF('Phan tich KL VL,NC,M'!C$281:C$426,B162,'Phan tich KL VL,NC,M'!G$281:G$426)</f>
        <v>0.364</v>
      </c>
      <c r="E162" s="148">
        <f>'Gia NC,CM'!P12</f>
        <v>273769.7</v>
      </c>
      <c r="F162" s="149">
        <f>D162*E162</f>
        <v>99652.1708</v>
      </c>
    </row>
    <row r="163" spans="1:6" ht="15">
      <c r="A163" s="8" t="s">
        <v>0</v>
      </c>
      <c r="B163" s="9" t="s">
        <v>0</v>
      </c>
      <c r="C163" s="9" t="s">
        <v>0</v>
      </c>
      <c r="D163" s="148">
        <f>SUMIF('Phan tich KL VL,NC,M'!C$281:C$426,B163,'Phan tich KL VL,NC,M'!G$281:G$426)</f>
        <v>0</v>
      </c>
      <c r="E163" s="148">
        <v>0</v>
      </c>
      <c r="F163" s="149"/>
    </row>
    <row r="164" spans="1:6" ht="15.75">
      <c r="A164" s="26" t="s">
        <v>0</v>
      </c>
      <c r="B164" s="27" t="s">
        <v>472</v>
      </c>
      <c r="C164" s="27" t="s">
        <v>0</v>
      </c>
      <c r="D164" s="146">
        <f>SUMIF('Phan tich KL VL,NC,M'!C$281:C$426,B164,'Phan tich KL VL,NC,M'!G$281:G$426)</f>
        <v>0</v>
      </c>
      <c r="E164" s="146">
        <v>0</v>
      </c>
      <c r="F164" s="147">
        <f>SUM(F165:F178)</f>
        <v>357009.4342603</v>
      </c>
    </row>
    <row r="165" spans="1:6" ht="15">
      <c r="A165" s="8" t="s">
        <v>0</v>
      </c>
      <c r="B165" s="9" t="s">
        <v>0</v>
      </c>
      <c r="C165" s="9" t="s">
        <v>0</v>
      </c>
      <c r="D165" s="148">
        <f>SUMIF('Phan tich KL VL,NC,M'!C$281:C$426,B165,'Phan tich KL VL,NC,M'!G$281:G$426)</f>
        <v>0</v>
      </c>
      <c r="E165" s="148">
        <v>0</v>
      </c>
      <c r="F165" s="149"/>
    </row>
    <row r="166" spans="1:6" ht="15">
      <c r="A166" s="8" t="s">
        <v>388</v>
      </c>
      <c r="B166" s="9" t="s">
        <v>394</v>
      </c>
      <c r="C166" s="9" t="s">
        <v>388</v>
      </c>
      <c r="D166" s="148">
        <f>100</f>
        <v>100</v>
      </c>
      <c r="E166" s="148">
        <v>1.21808</v>
      </c>
      <c r="F166" s="149">
        <f aca="true" t="shared" si="6" ref="F166:F178">D166*E166</f>
        <v>121.808</v>
      </c>
    </row>
    <row r="167" spans="1:6" ht="15">
      <c r="A167" s="8" t="s">
        <v>111</v>
      </c>
      <c r="B167" s="9" t="s">
        <v>207</v>
      </c>
      <c r="C167" s="9" t="s">
        <v>14</v>
      </c>
      <c r="D167" s="148">
        <f>SUMIF('Phan tich KL VL,NC,M'!C$281:C$426,B167,'Phan tich KL VL,NC,M'!G$281:G$426)</f>
        <v>0.019200000000000002</v>
      </c>
      <c r="E167" s="148">
        <f>'Gia NC,CM'!P14</f>
        <v>279365.2</v>
      </c>
      <c r="F167" s="149">
        <f t="shared" si="6"/>
        <v>5363.81184</v>
      </c>
    </row>
    <row r="168" spans="1:6" ht="15">
      <c r="A168" s="8" t="s">
        <v>112</v>
      </c>
      <c r="B168" s="9" t="s">
        <v>13</v>
      </c>
      <c r="C168" s="9" t="s">
        <v>14</v>
      </c>
      <c r="D168" s="148">
        <f>SUMIF('Phan tich KL VL,NC,M'!C$281:C$426,B168,'Phan tich KL VL,NC,M'!G$281:G$426)</f>
        <v>0.042207999999999996</v>
      </c>
      <c r="E168" s="148">
        <f>'Gia NC,CM'!P15</f>
        <v>292948.6</v>
      </c>
      <c r="F168" s="149">
        <f t="shared" si="6"/>
        <v>12364.774508799997</v>
      </c>
    </row>
    <row r="169" spans="1:6" ht="15">
      <c r="A169" s="8" t="s">
        <v>113</v>
      </c>
      <c r="B169" s="9" t="s">
        <v>47</v>
      </c>
      <c r="C169" s="9" t="s">
        <v>14</v>
      </c>
      <c r="D169" s="148">
        <f>SUMIF('Phan tich KL VL,NC,M'!C$281:C$426,B169,'Phan tich KL VL,NC,M'!G$281:G$426)</f>
        <v>0.2964</v>
      </c>
      <c r="E169" s="148">
        <f>'Gia NC,CM'!P16</f>
        <v>318885.3</v>
      </c>
      <c r="F169" s="149">
        <f t="shared" si="6"/>
        <v>94517.60291999999</v>
      </c>
    </row>
    <row r="170" spans="1:6" ht="15">
      <c r="A170" s="8" t="s">
        <v>117</v>
      </c>
      <c r="B170" s="9" t="s">
        <v>55</v>
      </c>
      <c r="C170" s="9" t="s">
        <v>14</v>
      </c>
      <c r="D170" s="148">
        <f>SUMIF('Phan tich KL VL,NC,M'!C$281:C$426,B170,'Phan tich KL VL,NC,M'!G$281:G$426)</f>
        <v>0.08316</v>
      </c>
      <c r="E170" s="148">
        <f>'Gia NC,CM'!P17</f>
        <v>292948.6</v>
      </c>
      <c r="F170" s="149">
        <f t="shared" si="6"/>
        <v>24361.605575999998</v>
      </c>
    </row>
    <row r="171" spans="1:6" ht="15">
      <c r="A171" s="8" t="s">
        <v>118</v>
      </c>
      <c r="B171" s="9" t="s">
        <v>187</v>
      </c>
      <c r="C171" s="9" t="s">
        <v>14</v>
      </c>
      <c r="D171" s="148">
        <f>SUMIF('Phan tich KL VL,NC,M'!C$281:C$426,B171,'Phan tich KL VL,NC,M'!G$281:G$426)</f>
        <v>0.07176</v>
      </c>
      <c r="E171" s="148">
        <f>'Gia NC,CM'!P18</f>
        <v>1815290.5</v>
      </c>
      <c r="F171" s="149">
        <f t="shared" si="6"/>
        <v>130265.24628</v>
      </c>
    </row>
    <row r="172" spans="1:6" ht="15">
      <c r="A172" s="8" t="s">
        <v>125</v>
      </c>
      <c r="B172" s="9" t="s">
        <v>48</v>
      </c>
      <c r="C172" s="9" t="s">
        <v>14</v>
      </c>
      <c r="D172" s="148">
        <f>SUMIF('Phan tich KL VL,NC,M'!C$281:C$426,B172,'Phan tich KL VL,NC,M'!G$281:G$426)</f>
        <v>0.19579999999999997</v>
      </c>
      <c r="E172" s="148">
        <f>'Gia NC,CM'!P19</f>
        <v>270954</v>
      </c>
      <c r="F172" s="149">
        <f t="shared" si="6"/>
        <v>53052.79319999999</v>
      </c>
    </row>
    <row r="173" spans="1:6" ht="15">
      <c r="A173" s="8" t="s">
        <v>130</v>
      </c>
      <c r="B173" s="9" t="s">
        <v>215</v>
      </c>
      <c r="C173" s="9" t="s">
        <v>14</v>
      </c>
      <c r="D173" s="148">
        <f>SUMIF('Phan tich KL VL,NC,M'!C$281:C$426,B173,'Phan tich KL VL,NC,M'!G$281:G$426)</f>
        <v>0.09756000000000001</v>
      </c>
      <c r="E173" s="148">
        <f>'Gia NC,CM'!P20</f>
        <v>274861.2</v>
      </c>
      <c r="F173" s="149">
        <f t="shared" si="6"/>
        <v>26815.458672000004</v>
      </c>
    </row>
    <row r="174" spans="1:6" ht="15">
      <c r="A174" s="8" t="s">
        <v>131</v>
      </c>
      <c r="B174" s="9" t="s">
        <v>30</v>
      </c>
      <c r="C174" s="9" t="s">
        <v>14</v>
      </c>
      <c r="D174" s="148">
        <f>SUMIF('Phan tich KL VL,NC,M'!C$281:C$426,B174,'Phan tich KL VL,NC,M'!G$281:G$426)</f>
        <v>0.026914999999999998</v>
      </c>
      <c r="E174" s="148">
        <f>'Gia NC,CM'!P21</f>
        <v>376976.9</v>
      </c>
      <c r="F174" s="149">
        <f t="shared" si="6"/>
        <v>10146.3332635</v>
      </c>
    </row>
    <row r="175" spans="1:6" ht="15">
      <c r="A175" s="8" t="s">
        <v>132</v>
      </c>
      <c r="B175" s="9" t="s">
        <v>259</v>
      </c>
      <c r="C175" s="9" t="s">
        <v>14</v>
      </c>
      <c r="D175" s="148">
        <f>SUMIF('Phan tich KL VL,NC,M'!C$281:C$426,B175,'Phan tich KL VL,NC,M'!G$281:G$426)</f>
        <v>0</v>
      </c>
      <c r="E175" s="148">
        <f>'Gia NC,CM'!P22</f>
        <v>2007084.8</v>
      </c>
      <c r="F175" s="149">
        <f t="shared" si="6"/>
        <v>0</v>
      </c>
    </row>
    <row r="176" spans="1:6" ht="15">
      <c r="A176" s="8" t="s">
        <v>133</v>
      </c>
      <c r="B176" s="9" t="s">
        <v>249</v>
      </c>
      <c r="C176" s="9" t="s">
        <v>14</v>
      </c>
      <c r="D176" s="148">
        <f>SUMIF('Phan tich KL VL,NC,M'!C$281:C$426,B176,'Phan tich KL VL,NC,M'!G$281:G$426)</f>
        <v>0</v>
      </c>
      <c r="E176" s="148">
        <f>'Gia NC,CM'!P23</f>
        <v>1769387.4</v>
      </c>
      <c r="F176" s="149">
        <f t="shared" si="6"/>
        <v>0</v>
      </c>
    </row>
    <row r="177" spans="1:6" ht="15">
      <c r="A177" s="8" t="s">
        <v>134</v>
      </c>
      <c r="B177" s="9" t="s">
        <v>273</v>
      </c>
      <c r="C177" s="9" t="s">
        <v>14</v>
      </c>
      <c r="D177" s="148">
        <f>SUMIF('Phan tich KL VL,NC,M'!C$281:C$426,B177,'Phan tich KL VL,NC,M'!G$281:G$426)</f>
        <v>0</v>
      </c>
      <c r="E177" s="148">
        <f>'Gia NC,CM'!P24</f>
        <v>1671581.2</v>
      </c>
      <c r="F177" s="149">
        <f t="shared" si="6"/>
        <v>0</v>
      </c>
    </row>
    <row r="178" spans="1:6" ht="15.75" thickBot="1">
      <c r="A178" s="11" t="s">
        <v>135</v>
      </c>
      <c r="B178" s="12" t="s">
        <v>116</v>
      </c>
      <c r="C178" s="12" t="s">
        <v>14</v>
      </c>
      <c r="D178" s="150">
        <f>SUMIF('Phan tich KL VL,NC,M'!C$281:C$426,B178,'Phan tich KL VL,NC,M'!G$281:G$426)</f>
        <v>0</v>
      </c>
      <c r="E178" s="150">
        <f>'Gia NC,CM'!P26</f>
        <v>1292495.9</v>
      </c>
      <c r="F178" s="151">
        <f t="shared" si="6"/>
        <v>0</v>
      </c>
    </row>
  </sheetData>
  <sheetProtection/>
  <mergeCells count="4">
    <mergeCell ref="A1:F1"/>
    <mergeCell ref="A3:F3"/>
    <mergeCell ref="A4:F4"/>
    <mergeCell ref="A5:F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2023-09-15T07:20:26Z</cp:lastPrinted>
  <dcterms:created xsi:type="dcterms:W3CDTF">2023-09-12T23:17:02Z</dcterms:created>
  <dcterms:modified xsi:type="dcterms:W3CDTF">2023-09-18T02:47:33Z</dcterms:modified>
  <cp:category/>
  <cp:version/>
  <cp:contentType/>
  <cp:contentStatus/>
</cp:coreProperties>
</file>