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275" activeTab="1"/>
  </bookViews>
  <sheets>
    <sheet name="LCNT" sheetId="1" r:id="rId1"/>
    <sheet name="Tong du toan" sheetId="2" r:id="rId2"/>
    <sheet name="CP Xay lap" sheetId="3" r:id="rId3"/>
    <sheet name="Du toan chi tiet" sheetId="4" r:id="rId4"/>
    <sheet name="Phan tich don gia" sheetId="5" r:id="rId5"/>
    <sheet name="Gia NC,CM" sheetId="6" r:id="rId6"/>
    <sheet name="Gia VL" sheetId="7" r:id="rId7"/>
    <sheet name="KL,Tien luong" sheetId="8" r:id="rId8"/>
    <sheet name="Tong hop KL VL,NC,M" sheetId="9" r:id="rId9"/>
    <sheet name="Phan tich KL VL,NC,M" sheetId="10" r:id="rId10"/>
  </sheets>
  <definedNames>
    <definedName name="_xlnm.Print_Titles" localSheetId="2">'CP Xay lap'!$7:$7</definedName>
    <definedName name="_xlnm.Print_Titles" localSheetId="3">'Du toan chi tiet'!$7:$8</definedName>
    <definedName name="_xlnm.Print_Titles" localSheetId="5">'Gia NC,CM'!$7:$7</definedName>
    <definedName name="_xlnm.Print_Titles" localSheetId="6">'Gia VL'!$7:$7</definedName>
    <definedName name="_xlnm.Print_Titles" localSheetId="7">'KL,Tien luong'!$7:$7</definedName>
    <definedName name="_xlnm.Print_Titles" localSheetId="4">'Phan tich don gia'!$7:$7</definedName>
    <definedName name="_xlnm.Print_Titles" localSheetId="9">'Phan tich KL VL,NC,M'!$7:$7</definedName>
    <definedName name="_xlnm.Print_Titles" localSheetId="1">'Tong du toan'!$11:$11</definedName>
    <definedName name="_xlnm.Print_Titles" localSheetId="8">'Tong hop KL VL,NC,M'!$7:$7</definedName>
  </definedNames>
  <calcPr fullCalcOnLoad="1"/>
</workbook>
</file>

<file path=xl/sharedStrings.xml><?xml version="1.0" encoding="utf-8"?>
<sst xmlns="http://schemas.openxmlformats.org/spreadsheetml/2006/main" count="1850" uniqueCount="381">
  <si>
    <t/>
  </si>
  <si>
    <t>*\1- MÆt ®­êng:</t>
  </si>
  <si>
    <t>1</t>
  </si>
  <si>
    <t>AB.66113</t>
  </si>
  <si>
    <t>§¾p c¸t xay c«ng tr×nh = m¸y lu b¸nh thÐp 9T</t>
  </si>
  <si>
    <t>1 m3</t>
  </si>
  <si>
    <t>§é chÆt yªu cÇu K=0.95</t>
  </si>
  <si>
    <t xml:space="preserve">   - C¸t xay</t>
  </si>
  <si>
    <t>m3</t>
  </si>
  <si>
    <t xml:space="preserve">   - Nh©n c«ng bËc 3.0/7N1</t>
  </si>
  <si>
    <t>C«ng</t>
  </si>
  <si>
    <t xml:space="preserve">   - M¸y lu b¸nh thÐp 9T</t>
  </si>
  <si>
    <t>Ca</t>
  </si>
  <si>
    <t xml:space="preserve">   - M¸y ñi 110CV</t>
  </si>
  <si>
    <t>2</t>
  </si>
  <si>
    <t>AL.16201</t>
  </si>
  <si>
    <t>R¶i líp b¹t c¸ch ly</t>
  </si>
  <si>
    <t>1 m2</t>
  </si>
  <si>
    <t xml:space="preserve">   - B¹t nilong</t>
  </si>
  <si>
    <t>m2</t>
  </si>
  <si>
    <t xml:space="preserve">   - Nh©n c«ng bËc 3.5/7N2</t>
  </si>
  <si>
    <t>3</t>
  </si>
  <si>
    <t>AF.82411</t>
  </si>
  <si>
    <t>V¸n khu«n mÆt ®­êng bª t«ng</t>
  </si>
  <si>
    <t xml:space="preserve">   - ThÐp h×nh, thÐp tÊm</t>
  </si>
  <si>
    <t>Kg</t>
  </si>
  <si>
    <t xml:space="preserve">   - Que hµn</t>
  </si>
  <si>
    <t xml:space="preserve">   - Nh©n c«ng bËc 4.0/7N2</t>
  </si>
  <si>
    <t xml:space="preserve">   - M¸y hµn 23KW</t>
  </si>
  <si>
    <t>4</t>
  </si>
  <si>
    <t>AF.15433</t>
  </si>
  <si>
    <t>Bª t«ng mÆt ®­êng</t>
  </si>
  <si>
    <t>V÷a bª t«ng th­¬ng phÈm ®¸ 2x4 M250</t>
  </si>
  <si>
    <t xml:space="preserve">   - Bª t«ng th­¬ng phÈm ®¸ 2x4 M250,PCB40</t>
  </si>
  <si>
    <t xml:space="preserve">   - Gç lµm khe co gi·n</t>
  </si>
  <si>
    <t xml:space="preserve">   - Nhùa ®­êng</t>
  </si>
  <si>
    <t xml:space="preserve">   - M¸y ®Çm bµn 1KW</t>
  </si>
  <si>
    <t xml:space="preserve">   - M¸y ®Çm dïi 1.5KW</t>
  </si>
  <si>
    <t>*\2- NÒn ®­êng:</t>
  </si>
  <si>
    <t>5</t>
  </si>
  <si>
    <t>AB.21132</t>
  </si>
  <si>
    <t>§µo ®Êt KPH b»ng m¸y ®µo &lt;= 1.25m3</t>
  </si>
  <si>
    <t>§Êt cÊp II</t>
  </si>
  <si>
    <t xml:space="preserve">   - M¸y ®µo 1.25m3</t>
  </si>
  <si>
    <t>6</t>
  </si>
  <si>
    <t>AB.31133</t>
  </si>
  <si>
    <t>§µo khu«n ®­êng b»ng m¸y ®µo &lt;= 1.25m3</t>
  </si>
  <si>
    <t>§Êt cÊp III</t>
  </si>
  <si>
    <t>7</t>
  </si>
  <si>
    <t>AA.22310</t>
  </si>
  <si>
    <t>Ph¸ dì kÕt cÊu bª t«ng = m¸y ®µo 1.25m3</t>
  </si>
  <si>
    <t>g¾n ®Çu bóa thñy lùc</t>
  </si>
  <si>
    <t xml:space="preserve">   - M¸y ®µo 1.25m3 g¾n ®Çu bóa thñy lùc</t>
  </si>
  <si>
    <t>8</t>
  </si>
  <si>
    <t>TT.DatK95</t>
  </si>
  <si>
    <t>Mua ®Êt ®¾p K95</t>
  </si>
  <si>
    <t xml:space="preserve">   - §Êt ®¾p K95</t>
  </si>
  <si>
    <t>9</t>
  </si>
  <si>
    <t>AB.64133</t>
  </si>
  <si>
    <t>§¾p lÒ ®­êng b»ng m¸y lu b¸nh thÐp 25T</t>
  </si>
  <si>
    <t xml:space="preserve">   - M¸y lu b¸nh thÐp 25T</t>
  </si>
  <si>
    <t>10</t>
  </si>
  <si>
    <t>AB.64134</t>
  </si>
  <si>
    <t>§¾p nÒn ®­êng b»ng m¸y lu b¸nh thÐp 25T</t>
  </si>
  <si>
    <t>11</t>
  </si>
  <si>
    <t>SB.94411</t>
  </si>
  <si>
    <t>V/chuyÓn phÕ th¶i trong ph¹m vi 1000m</t>
  </si>
  <si>
    <t>1m3</t>
  </si>
  <si>
    <t>(B»ng khèi l­îng ph¸ dì mÆt ®­êng hiÖn tr¹ng)</t>
  </si>
  <si>
    <t xml:space="preserve">   - ¤ t« tù ®æ 7.0 tÊn</t>
  </si>
  <si>
    <t>12</t>
  </si>
  <si>
    <t>SB.94811</t>
  </si>
  <si>
    <t>V/chuyÓn phÕ th¶i tiÕp 4000m b»ng « t« 7T</t>
  </si>
  <si>
    <t>13</t>
  </si>
  <si>
    <t>AM.23211</t>
  </si>
  <si>
    <t>VËn chuyÓn ®Êt x©y dùng = « t« tù ®æ 7T</t>
  </si>
  <si>
    <t>10m3/km</t>
  </si>
  <si>
    <t>Trong ph¹m vi &lt;=1km</t>
  </si>
  <si>
    <t xml:space="preserve">   - ¤ t« tù ®æ 7T</t>
  </si>
  <si>
    <t>*\3- C­íc vËn chuyÓn:</t>
  </si>
  <si>
    <t>14</t>
  </si>
  <si>
    <t>AM.11242</t>
  </si>
  <si>
    <t>Bèc xÕp vËt liÖu kh¸c b»ng thñ c«ng</t>
  </si>
  <si>
    <t>TÊn</t>
  </si>
  <si>
    <t>Bèc xuèng - Xi m¨ng bao</t>
  </si>
  <si>
    <t>15</t>
  </si>
  <si>
    <t>AM.11282</t>
  </si>
  <si>
    <t>Bèc xuèng - ThÐp c¸c lo¹i</t>
  </si>
  <si>
    <t>16</t>
  </si>
  <si>
    <t>17</t>
  </si>
  <si>
    <t>AM.23212</t>
  </si>
  <si>
    <t>Trong ph¹m vi &lt;=10km</t>
  </si>
  <si>
    <t>18</t>
  </si>
  <si>
    <t>AM.23213</t>
  </si>
  <si>
    <t>G2</t>
  </si>
  <si>
    <t>Chi phÝ qu¶n lý dù ¸n:</t>
  </si>
  <si>
    <t xml:space="preserve">   A2</t>
  </si>
  <si>
    <t>A2</t>
  </si>
  <si>
    <t xml:space="preserve">  -2- NÒn ®­êng:</t>
  </si>
  <si>
    <t xml:space="preserve">   A1</t>
  </si>
  <si>
    <t>A1</t>
  </si>
  <si>
    <t xml:space="preserve">  -1- MÆt ®­êng:</t>
  </si>
  <si>
    <t>G1</t>
  </si>
  <si>
    <t>Chi phÝ x©y dùng:</t>
  </si>
  <si>
    <t>1.</t>
  </si>
  <si>
    <t xml:space="preserve"> G+VAT</t>
  </si>
  <si>
    <t>Gxd</t>
  </si>
  <si>
    <t>+ Chi phÝ x©y dùng sau thuÕ</t>
  </si>
  <si>
    <t>.</t>
  </si>
  <si>
    <t xml:space="preserve"> G*8%</t>
  </si>
  <si>
    <t>VAT</t>
  </si>
  <si>
    <t>+ ThuÕ gi¸ trÞ gia t¨ng</t>
  </si>
  <si>
    <t xml:space="preserve"> T+GT+TL</t>
  </si>
  <si>
    <t>G</t>
  </si>
  <si>
    <t xml:space="preserve"> - Chi phÝ x©y dùng tr­íc thuÕ</t>
  </si>
  <si>
    <t>*</t>
  </si>
  <si>
    <t xml:space="preserve"> (T+GT)*6.0%</t>
  </si>
  <si>
    <t>TL</t>
  </si>
  <si>
    <t>+ Thu nhËp chÞu thuÕ tÝnh tr­íc</t>
  </si>
  <si>
    <t xml:space="preserve"> T*2.0%</t>
  </si>
  <si>
    <t>TT</t>
  </si>
  <si>
    <t xml:space="preserve">   Chi phÝ c«ng viÖc kh«ng x¸c ®Þnh KLTK</t>
  </si>
  <si>
    <t xml:space="preserve"> T*2.2%</t>
  </si>
  <si>
    <t>LT</t>
  </si>
  <si>
    <t xml:space="preserve">   Chi phÝ nhµ t¹m, nhµ ®iÒu hµnh thi c«ng</t>
  </si>
  <si>
    <t xml:space="preserve"> T*6.20%</t>
  </si>
  <si>
    <t>C</t>
  </si>
  <si>
    <t xml:space="preserve">   Chi phÝ chung</t>
  </si>
  <si>
    <t xml:space="preserve"> C+LT+TT</t>
  </si>
  <si>
    <t>GT</t>
  </si>
  <si>
    <t>+ Chi phÝ gi¸n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</si>
  <si>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</si>
  <si>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</si>
  <si>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</si>
  <si>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</si>
  <si>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</si>
  <si>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</si>
  <si>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</si>
  <si>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</si>
  <si>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</si>
  <si>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VL+NC+M</t>
  </si>
  <si>
    <t>T</t>
  </si>
  <si>
    <t>+ Chi phÝ trùc tiÕp</t>
  </si>
  <si>
    <t xml:space="preserve"> 3</t>
  </si>
  <si>
    <t xml:space="preserve"> 2</t>
  </si>
  <si>
    <t xml:space="preserve"> 1</t>
  </si>
  <si>
    <t xml:space="preserve"> 17</t>
  </si>
  <si>
    <t>Trong ph¹m vi &lt;=10km: 1=1.000</t>
  </si>
  <si>
    <t xml:space="preserve"> 16</t>
  </si>
  <si>
    <t>Trong ph¹m vi &lt;=1km: 1=1.000</t>
  </si>
  <si>
    <t xml:space="preserve"> 13</t>
  </si>
  <si>
    <t>Bèc xuèng - ThÐp c¸c lo¹i: 1=1.000</t>
  </si>
  <si>
    <t xml:space="preserve"> 15</t>
  </si>
  <si>
    <t>Bèc xuèng - Xi m¨ng bao: 1=1.000</t>
  </si>
  <si>
    <t xml:space="preserve"> 14</t>
  </si>
  <si>
    <t>Trong ph¹m vi &lt;=1km: 35.051=35.051</t>
  </si>
  <si>
    <t>: 52.316=52.316</t>
  </si>
  <si>
    <t xml:space="preserve"> 12</t>
  </si>
  <si>
    <t xml:space="preserve"> 11</t>
  </si>
  <si>
    <t>§é chÆt yªu cÇu K=0.95: 371.8=371.800</t>
  </si>
  <si>
    <t xml:space="preserve"> 10</t>
  </si>
  <si>
    <t>§é chÆt yªu cÇu K=0.95: 130.3=130.300</t>
  </si>
  <si>
    <t xml:space="preserve">  9</t>
  </si>
  <si>
    <t>: 98.423=98.423</t>
  </si>
  <si>
    <t xml:space="preserve">  8</t>
  </si>
  <si>
    <t>g¾n ®Çu bóa thñy lùc: 52.316=52.316</t>
  </si>
  <si>
    <t xml:space="preserve">  7</t>
  </si>
  <si>
    <t>§Êt cÊp III: 415=415.000</t>
  </si>
  <si>
    <t xml:space="preserve">  6</t>
  </si>
  <si>
    <t>§Êt cÊp II: 350.5=350.500</t>
  </si>
  <si>
    <t xml:space="preserve">  5</t>
  </si>
  <si>
    <t xml:space="preserve">  4</t>
  </si>
  <si>
    <t>: 206.1=206.100</t>
  </si>
  <si>
    <t xml:space="preserve">  3</t>
  </si>
  <si>
    <t>: 1294.9=1294.900</t>
  </si>
  <si>
    <t xml:space="preserve">  2</t>
  </si>
  <si>
    <t>§é chÆt yªu cÇu K=0.95: 37.5=37.500</t>
  </si>
  <si>
    <t xml:space="preserve">  1</t>
  </si>
  <si>
    <t>C- M¸y thi c«ng :</t>
  </si>
  <si>
    <t>B- Nh©n c«ng :</t>
  </si>
  <si>
    <t xml:space="preserve"> C- M¸y thi c«ng :</t>
  </si>
  <si>
    <t>%</t>
  </si>
  <si>
    <t xml:space="preserve">   - M¸y kh¸c</t>
  </si>
  <si>
    <t>A- VËt liÖu :</t>
  </si>
  <si>
    <t xml:space="preserve">   - VËt liÖu kh¸c</t>
  </si>
  <si>
    <t>madm</t>
  </si>
  <si>
    <t>1x2/4N4</t>
  </si>
  <si>
    <t>46*Diezel</t>
  </si>
  <si>
    <t>M106.0203</t>
  </si>
  <si>
    <t>1x4/7N4</t>
  </si>
  <si>
    <t>M101.0503</t>
  </si>
  <si>
    <t>1x3/7N4</t>
  </si>
  <si>
    <t>7*KWh</t>
  </si>
  <si>
    <t>M112.1301</t>
  </si>
  <si>
    <t>5*KWh</t>
  </si>
  <si>
    <t>M112.1101</t>
  </si>
  <si>
    <t>83*Diezel</t>
  </si>
  <si>
    <t>M101.0115</t>
  </si>
  <si>
    <t>M101.0105</t>
  </si>
  <si>
    <t>24*Diezel</t>
  </si>
  <si>
    <t>M101.1102</t>
  </si>
  <si>
    <t>47*Diezel</t>
  </si>
  <si>
    <t>M101.1106</t>
  </si>
  <si>
    <t>48*KWh</t>
  </si>
  <si>
    <t>M112.4003</t>
  </si>
  <si>
    <t>273769.7</t>
  </si>
  <si>
    <t>252200.0</t>
  </si>
  <si>
    <t>218559.2</t>
  </si>
  <si>
    <t>C«ng tr×nh</t>
  </si>
  <si>
    <t xml:space="preserve">  AM.23213: « t« tù ®æ 7T, cù ly &lt;60km</t>
  </si>
  <si>
    <t xml:space="preserve">  AM.23212: « t« tù ®æ 7T, cù ly &lt;10km</t>
  </si>
  <si>
    <t>Khe B¨ng</t>
  </si>
  <si>
    <t xml:space="preserve">  AM.23211: « t« tù ®æ 7T, cù ly &lt;1km</t>
  </si>
  <si>
    <t xml:space="preserve">    20</t>
  </si>
  <si>
    <t>- §Êt ®¾p K95</t>
  </si>
  <si>
    <t xml:space="preserve">  AM.11282: thñ c«ng - bèc xuèng xe</t>
  </si>
  <si>
    <t xml:space="preserve">     0</t>
  </si>
  <si>
    <t>- ThÐp h×nh, thÐp tÊm</t>
  </si>
  <si>
    <t>- Que hµn</t>
  </si>
  <si>
    <t>- Nhùa ®­êng</t>
  </si>
  <si>
    <t>- Gç lµm khe co gi·n</t>
  </si>
  <si>
    <t xml:space="preserve">  AM.23113: « t« tù ®æ 7T, cù ly &lt;60km</t>
  </si>
  <si>
    <t xml:space="preserve">  AM.23112: « t« tù ®æ 7T, cù ly &lt;10km</t>
  </si>
  <si>
    <t>H­¬ng Thä</t>
  </si>
  <si>
    <t xml:space="preserve">  AM.23111: « t« tù ®æ 7T, cù ly &lt;1km</t>
  </si>
  <si>
    <t xml:space="preserve">    12</t>
  </si>
  <si>
    <t>- C¸t xay</t>
  </si>
  <si>
    <t>- B¹t nilong</t>
  </si>
  <si>
    <t>H­¬ng Thñy</t>
  </si>
  <si>
    <t xml:space="preserve">     6</t>
  </si>
  <si>
    <t>- Bª t«ng th­¬ng phÈm ®¸ 2x4 M250,PCB40</t>
  </si>
  <si>
    <t>*C - XE MAY</t>
  </si>
  <si>
    <t>*B - NH¢N C¤NG</t>
  </si>
  <si>
    <t>*A - V¢T LI£U</t>
  </si>
  <si>
    <t>Céng hoµ x· héi chñ nghÜa ViÖt Nam</t>
  </si>
  <si>
    <t>§éc lËp - Tù do - H¹nh phóc</t>
  </si>
  <si>
    <t>=======@@@=======</t>
  </si>
  <si>
    <t>C«ng tr×nh: n¢NG CÊP, SöA CH÷A §¦êNG TH¤N TAM HIÖP (giai ®o¹n 2), X· B×NH THµNh</t>
  </si>
  <si>
    <t>§ÞA §IÓM: X· B×NH THµNH, THÞ X· H¦¥NG TRµ, TØNH THõA THI£N HUÕ</t>
  </si>
  <si>
    <t>H¹ng môc chi phÝ</t>
  </si>
  <si>
    <t>Ký
hiÖu</t>
  </si>
  <si>
    <t>C¸ch tÝnh</t>
  </si>
  <si>
    <t>Thµnh tiÒn
tr­íc thuÕ</t>
  </si>
  <si>
    <t>ThuÕ
VAT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</si>
  <si>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</si>
  <si>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</si>
  <si>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</si>
  <si>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</si>
  <si>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</si>
  <si>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</si>
  <si>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</si>
  <si>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</si>
  <si>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</si>
  <si>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</si>
  <si>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</si>
  <si>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</si>
  <si>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</si>
  <si>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</si>
  <si>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</si>
  <si>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</si>
  <si>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</si>
  <si>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</si>
  <si>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</si>
  <si>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</si>
  <si>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</si>
  <si>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</si>
  <si>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</si>
  <si>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</si>
  <si>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</si>
  <si>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</si>
  <si>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</si>
  <si>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</si>
  <si>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</si>
  <si>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</si>
  <si>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</si>
  <si>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</si>
  <si>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</si>
  <si>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</si>
  <si>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</si>
  <si>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</si>
  <si>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</si>
  <si>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</si>
  <si>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</si>
  <si>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</si>
  <si>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</si>
  <si>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</si>
  <si>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</si>
  <si>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</si>
  <si>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</si>
  <si>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</si>
  <si>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</si>
  <si>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</si>
  <si>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</si>
  <si>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</si>
  <si>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</si>
  <si>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</si>
  <si>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</si>
  <si>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</si>
  <si>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</si>
  <si>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</si>
  <si>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</si>
  <si>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</si>
  <si>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</si>
  <si>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</si>
  <si>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</si>
  <si>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</si>
  <si>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>Chi phÝ t­ vÊn ®Çu t­ x©y dùng:</t>
  </si>
  <si>
    <t>G3</t>
  </si>
  <si>
    <t xml:space="preserve"> TV1+...+TV5</t>
  </si>
  <si>
    <t xml:space="preserve">  - Chi phÝ kh¶o s¸t </t>
  </si>
  <si>
    <t>TV1</t>
  </si>
  <si>
    <t xml:space="preserve">  - Chi phÝ lËp b¸o c¸o KTKT</t>
  </si>
  <si>
    <t>TV2</t>
  </si>
  <si>
    <t xml:space="preserve">  - Chi phÝ thÈm tra thiÕt kÕ x©y dùng</t>
  </si>
  <si>
    <t>TV3</t>
  </si>
  <si>
    <t xml:space="preserve"> Tèi thiÓu</t>
  </si>
  <si>
    <t xml:space="preserve">  - Chi phÝ thÈm tra dù to¸n x©y dùng</t>
  </si>
  <si>
    <t>TV4</t>
  </si>
  <si>
    <t xml:space="preserve">  - Gi¸m s¸t thi c«ng x©y dùng</t>
  </si>
  <si>
    <t>TV5</t>
  </si>
  <si>
    <t>Chi phÝ kh¸c :</t>
  </si>
  <si>
    <t>G4</t>
  </si>
  <si>
    <t xml:space="preserve"> K1+...+K4</t>
  </si>
  <si>
    <t xml:space="preserve">  - Chi phÝ thÈm ®Þnh BCKT-KT</t>
  </si>
  <si>
    <t>K1</t>
  </si>
  <si>
    <t xml:space="preserve">  - Chi phÝ c«ng t¸c kiÓm tra nghiÖm thu</t>
  </si>
  <si>
    <t>K2</t>
  </si>
  <si>
    <t xml:space="preserve"> TV5*20%</t>
  </si>
  <si>
    <t xml:space="preserve">  - B¶o hiÓm c«ng tr×nh</t>
  </si>
  <si>
    <t>K3</t>
  </si>
  <si>
    <t xml:space="preserve"> G1*0.25%</t>
  </si>
  <si>
    <t xml:space="preserve"> - ThÈm tra phª duyÖt quyÕt to¸n</t>
  </si>
  <si>
    <t>K4</t>
  </si>
  <si>
    <t xml:space="preserve"> (G-G5)*0.57%</t>
  </si>
  <si>
    <t>Chi phÝ dù phßng</t>
  </si>
  <si>
    <t>G5</t>
  </si>
  <si>
    <t xml:space="preserve"> DPP</t>
  </si>
  <si>
    <t>Tæng céng(1+2+3+4+5)</t>
  </si>
  <si>
    <t xml:space="preserve"> G1+...+G5</t>
  </si>
  <si>
    <t>Tèi thiÓu</t>
  </si>
  <si>
    <t xml:space="preserve">  G1*3.024%/1.08</t>
  </si>
  <si>
    <t xml:space="preserve">  G1*5.4%</t>
  </si>
  <si>
    <t xml:space="preserve">  G1*3.203%</t>
  </si>
  <si>
    <t xml:space="preserve"> §· thÈm tra</t>
  </si>
  <si>
    <t xml:space="preserve">KẾ HOẠCH LỰA CHỌN NHÀ THẦU </t>
  </si>
  <si>
    <t>(Kèm theo Quyết định số          /QĐ-UBND ngày      /       /2023 của UBND thị xã Hương Trà)</t>
  </si>
  <si>
    <t>Stt</t>
  </si>
  <si>
    <t>Tên gói thầu</t>
  </si>
  <si>
    <t>Giá gói thầu
(1000 đồng)</t>
  </si>
  <si>
    <t>Nguồn vốn</t>
  </si>
  <si>
    <t>Hình thức lựa chọn nhà thầu</t>
  </si>
  <si>
    <t>Phương thức lựa chọn nhà thầu</t>
  </si>
  <si>
    <t>Thời gian bắt đầu tổ chức lựa chọn nhà thầu</t>
  </si>
  <si>
    <t>Loại hợp đồng</t>
  </si>
  <si>
    <t>Thời gian thực hiện hợp đồng</t>
  </si>
  <si>
    <t>Ghi chú</t>
  </si>
  <si>
    <t>I</t>
  </si>
  <si>
    <t>Phân công việc đã thực hiện</t>
  </si>
  <si>
    <t>Gói thầu số 01: Khảo sát, lập báo cáo kinh tế kỹ thuật</t>
  </si>
  <si>
    <t>Đã thực hiện</t>
  </si>
  <si>
    <t xml:space="preserve">Gói thầu số 02: Thẩm tra thiết kế BVTC và dự toán </t>
  </si>
  <si>
    <t>II</t>
  </si>
  <si>
    <t>Phần công việc thuộc kế hoạch lựa chọn nhà thầu</t>
  </si>
  <si>
    <t>Gói thầu số 03: Toàn bộ phần xây lắp</t>
  </si>
  <si>
    <t>Chỉ định thầu</t>
  </si>
  <si>
    <t>Quý III/2023</t>
  </si>
  <si>
    <t>Trọn gói</t>
  </si>
  <si>
    <t>Gói thầu số 04: Giám sát thi công</t>
  </si>
  <si>
    <t>III</t>
  </si>
  <si>
    <t>Phần công việc không áp dụng được một trong các hình thức lựa chọn nhà thầu</t>
  </si>
  <si>
    <t>IV</t>
  </si>
  <si>
    <t>Dự phòng:</t>
  </si>
  <si>
    <t>Tổng cộng:</t>
  </si>
  <si>
    <t>ĐVT: đồng.</t>
  </si>
  <si>
    <t>BẢNG TỔNG MỨC ĐẦU TƯ</t>
  </si>
  <si>
    <t>Gói thầu số 05: Bảo hiểm công trình</t>
  </si>
  <si>
    <t>Bổ sung có mục tiêu của tỉnh 800 triệu đồng, phần còn lại ngân sách xã Bình Thành</t>
  </si>
  <si>
    <t>60 ngày</t>
  </si>
  <si>
    <t xml:space="preserve"> A1+...+A2</t>
  </si>
  <si>
    <t>Quản lý dự án; Thẩm định BCKTKT; Thẩm tra phê duyệt quyết toán; Kiểm tra công tác nghiệm thu</t>
  </si>
  <si>
    <t>(Kèm theo Quyết định số 2004 /QĐ-UBND ngày 15/9 /2023 của UBND thị xã Hương Trà)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</si>
</sst>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69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2"/>
      <color indexed="25"/>
      <name val=".VnTime"/>
      <family val="2"/>
    </font>
    <font>
      <sz val="12"/>
      <color indexed="17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u val="single"/>
      <sz val="12"/>
      <color indexed="30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sz val="18"/>
      <color indexed="54"/>
      <name val="Calibri Light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u val="single"/>
      <sz val="11"/>
      <color indexed="8"/>
      <name val=".VnArial Narrow"/>
      <family val="2"/>
    </font>
    <font>
      <b/>
      <sz val="9"/>
      <color indexed="8"/>
      <name val=".VnArial Narrow"/>
      <family val="2"/>
    </font>
    <font>
      <b/>
      <sz val="11"/>
      <color indexed="8"/>
      <name val=".VnTimeH"/>
      <family val="2"/>
    </font>
    <font>
      <b/>
      <sz val="13"/>
      <color indexed="8"/>
      <name val=".VnArialH"/>
      <family val="2"/>
    </font>
    <font>
      <b/>
      <i/>
      <sz val="12"/>
      <color indexed="8"/>
      <name val=".VnTime"/>
      <family val="2"/>
    </font>
    <font>
      <i/>
      <sz val="14"/>
      <color indexed="3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u val="single"/>
      <sz val="11"/>
      <color theme="1"/>
      <name val=".VnArial Narrow"/>
      <family val="2"/>
    </font>
    <font>
      <b/>
      <sz val="9"/>
      <color theme="1"/>
      <name val=".VnArial Narrow"/>
      <family val="2"/>
    </font>
    <font>
      <i/>
      <sz val="13"/>
      <color theme="1"/>
      <name val="Times New Roman"/>
      <family val="1"/>
    </font>
    <font>
      <b/>
      <sz val="11"/>
      <color theme="1"/>
      <name val=".VnTimeH"/>
      <family val="2"/>
    </font>
    <font>
      <i/>
      <sz val="14"/>
      <color rgb="FF0033CC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.VnArialH"/>
      <family val="2"/>
    </font>
    <font>
      <b/>
      <i/>
      <sz val="12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16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3" fontId="54" fillId="0" borderId="17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3" fontId="54" fillId="0" borderId="20" xfId="0" applyNumberFormat="1" applyFont="1" applyBorder="1" applyAlignment="1">
      <alignment horizontal="center" vertical="center" wrapText="1"/>
    </xf>
    <xf numFmtId="3" fontId="54" fillId="0" borderId="2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3" fontId="54" fillId="0" borderId="21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165" fontId="57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58" fillId="0" borderId="0" xfId="0" applyFont="1" applyAlignment="1">
      <alignment/>
    </xf>
    <xf numFmtId="165" fontId="58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57" fillId="0" borderId="22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165" fontId="57" fillId="0" borderId="11" xfId="0" applyNumberFormat="1" applyFont="1" applyBorder="1" applyAlignment="1">
      <alignment/>
    </xf>
    <xf numFmtId="3" fontId="57" fillId="0" borderId="11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165" fontId="58" fillId="0" borderId="11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165" fontId="57" fillId="0" borderId="14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165" fontId="58" fillId="0" borderId="17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3" fontId="58" fillId="0" borderId="18" xfId="0" applyNumberFormat="1" applyFont="1" applyBorder="1" applyAlignment="1">
      <alignment/>
    </xf>
    <xf numFmtId="164" fontId="57" fillId="0" borderId="0" xfId="0" applyNumberFormat="1" applyFont="1" applyAlignment="1">
      <alignment horizontal="right"/>
    </xf>
    <xf numFmtId="164" fontId="58" fillId="0" borderId="17" xfId="0" applyNumberFormat="1" applyFont="1" applyBorder="1" applyAlignment="1">
      <alignment horizontal="right"/>
    </xf>
    <xf numFmtId="164" fontId="57" fillId="0" borderId="11" xfId="0" applyNumberFormat="1" applyFont="1" applyBorder="1" applyAlignment="1">
      <alignment horizontal="right"/>
    </xf>
    <xf numFmtId="164" fontId="58" fillId="0" borderId="11" xfId="0" applyNumberFormat="1" applyFont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164" fontId="58" fillId="0" borderId="0" xfId="0" applyNumberFormat="1" applyFont="1" applyAlignment="1">
      <alignment horizontal="right"/>
    </xf>
    <xf numFmtId="165" fontId="58" fillId="0" borderId="24" xfId="0" applyNumberFormat="1" applyFont="1" applyBorder="1" applyAlignment="1">
      <alignment horizontal="center" vertical="center"/>
    </xf>
    <xf numFmtId="3" fontId="58" fillId="0" borderId="24" xfId="0" applyNumberFormat="1" applyFont="1" applyBorder="1" applyAlignment="1">
      <alignment horizontal="center" vertical="center"/>
    </xf>
    <xf numFmtId="3" fontId="58" fillId="0" borderId="25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54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6" fontId="54" fillId="0" borderId="0" xfId="0" applyNumberFormat="1" applyFont="1" applyAlignment="1">
      <alignment/>
    </xf>
    <xf numFmtId="166" fontId="54" fillId="0" borderId="20" xfId="0" applyNumberFormat="1" applyFont="1" applyBorder="1" applyAlignment="1">
      <alignment horizontal="center" vertical="center"/>
    </xf>
    <xf numFmtId="165" fontId="54" fillId="0" borderId="20" xfId="0" applyNumberFormat="1" applyFont="1" applyBorder="1" applyAlignment="1">
      <alignment horizontal="center" vertical="center"/>
    </xf>
    <xf numFmtId="165" fontId="54" fillId="0" borderId="21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11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165" fontId="59" fillId="0" borderId="11" xfId="0" applyNumberFormat="1" applyFont="1" applyBorder="1" applyAlignment="1">
      <alignment/>
    </xf>
    <xf numFmtId="165" fontId="59" fillId="0" borderId="12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3" fontId="59" fillId="0" borderId="14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165" fontId="59" fillId="0" borderId="14" xfId="0" applyNumberFormat="1" applyFont="1" applyBorder="1" applyAlignment="1">
      <alignment/>
    </xf>
    <xf numFmtId="165" fontId="59" fillId="0" borderId="15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3" fontId="59" fillId="0" borderId="17" xfId="0" applyNumberFormat="1" applyFont="1" applyBorder="1" applyAlignment="1">
      <alignment/>
    </xf>
    <xf numFmtId="4" fontId="59" fillId="0" borderId="17" xfId="0" applyNumberFormat="1" applyFont="1" applyBorder="1" applyAlignment="1">
      <alignment/>
    </xf>
    <xf numFmtId="165" fontId="59" fillId="0" borderId="17" xfId="0" applyNumberFormat="1" applyFont="1" applyBorder="1" applyAlignment="1">
      <alignment/>
    </xf>
    <xf numFmtId="165" fontId="59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165" fontId="60" fillId="0" borderId="0" xfId="0" applyNumberFormat="1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3" fontId="60" fillId="0" borderId="20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165" fontId="60" fillId="0" borderId="20" xfId="0" applyNumberFormat="1" applyFont="1" applyBorder="1" applyAlignment="1">
      <alignment horizontal="center" vertical="center" wrapText="1"/>
    </xf>
    <xf numFmtId="165" fontId="60" fillId="0" borderId="21" xfId="0" applyNumberFormat="1" applyFont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4" fontId="57" fillId="0" borderId="23" xfId="0" applyNumberFormat="1" applyFont="1" applyBorder="1" applyAlignment="1">
      <alignment/>
    </xf>
    <xf numFmtId="165" fontId="61" fillId="0" borderId="11" xfId="0" applyNumberFormat="1" applyFont="1" applyBorder="1" applyAlignment="1">
      <alignment/>
    </xf>
    <xf numFmtId="165" fontId="61" fillId="0" borderId="12" xfId="0" applyNumberFormat="1" applyFont="1" applyBorder="1" applyAlignment="1">
      <alignment/>
    </xf>
    <xf numFmtId="165" fontId="57" fillId="0" borderId="12" xfId="0" applyNumberFormat="1" applyFont="1" applyBorder="1" applyAlignment="1">
      <alignment/>
    </xf>
    <xf numFmtId="165" fontId="57" fillId="0" borderId="15" xfId="0" applyNumberFormat="1" applyFont="1" applyBorder="1" applyAlignment="1">
      <alignment/>
    </xf>
    <xf numFmtId="0" fontId="57" fillId="0" borderId="0" xfId="0" applyFont="1" applyAlignment="1">
      <alignment horizontal="right"/>
    </xf>
    <xf numFmtId="0" fontId="57" fillId="0" borderId="11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4" fontId="57" fillId="0" borderId="0" xfId="0" applyNumberFormat="1" applyFont="1" applyAlignment="1">
      <alignment horizontal="center"/>
    </xf>
    <xf numFmtId="4" fontId="57" fillId="0" borderId="11" xfId="0" applyNumberFormat="1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right"/>
    </xf>
    <xf numFmtId="165" fontId="57" fillId="0" borderId="17" xfId="0" applyNumberFormat="1" applyFont="1" applyBorder="1" applyAlignment="1">
      <alignment/>
    </xf>
    <xf numFmtId="4" fontId="57" fillId="0" borderId="17" xfId="0" applyNumberFormat="1" applyFont="1" applyBorder="1" applyAlignment="1">
      <alignment horizontal="center"/>
    </xf>
    <xf numFmtId="165" fontId="61" fillId="0" borderId="17" xfId="0" applyNumberFormat="1" applyFont="1" applyBorder="1" applyAlignment="1">
      <alignment/>
    </xf>
    <xf numFmtId="165" fontId="61" fillId="0" borderId="18" xfId="0" applyNumberFormat="1" applyFont="1" applyBorder="1" applyAlignment="1">
      <alignment/>
    </xf>
    <xf numFmtId="0" fontId="58" fillId="0" borderId="0" xfId="0" applyFont="1" applyAlignment="1">
      <alignment horizontal="right"/>
    </xf>
    <xf numFmtId="4" fontId="58" fillId="0" borderId="0" xfId="0" applyNumberFormat="1" applyFont="1" applyAlignment="1">
      <alignment horizontal="center"/>
    </xf>
    <xf numFmtId="0" fontId="62" fillId="0" borderId="20" xfId="0" applyFont="1" applyBorder="1" applyAlignment="1">
      <alignment horizontal="center" vertical="center" wrapText="1"/>
    </xf>
    <xf numFmtId="165" fontId="62" fillId="0" borderId="20" xfId="0" applyNumberFormat="1" applyFont="1" applyBorder="1" applyAlignment="1">
      <alignment horizontal="center" vertical="center" wrapText="1"/>
    </xf>
    <xf numFmtId="4" fontId="62" fillId="0" borderId="20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165" fontId="58" fillId="0" borderId="20" xfId="0" applyNumberFormat="1" applyFont="1" applyBorder="1" applyAlignment="1">
      <alignment horizontal="center" vertical="center" wrapText="1"/>
    </xf>
    <xf numFmtId="165" fontId="58" fillId="0" borderId="20" xfId="0" applyNumberFormat="1" applyFont="1" applyBorder="1" applyAlignment="1">
      <alignment horizontal="center" vertical="center"/>
    </xf>
    <xf numFmtId="165" fontId="58" fillId="0" borderId="21" xfId="0" applyNumberFormat="1" applyFont="1" applyBorder="1" applyAlignment="1">
      <alignment horizontal="center" vertical="center"/>
    </xf>
    <xf numFmtId="4" fontId="57" fillId="0" borderId="0" xfId="0" applyNumberFormat="1" applyFont="1" applyAlignment="1">
      <alignment horizontal="right"/>
    </xf>
    <xf numFmtId="4" fontId="57" fillId="0" borderId="23" xfId="0" applyNumberFormat="1" applyFont="1" applyBorder="1" applyAlignment="1">
      <alignment horizontal="right"/>
    </xf>
    <xf numFmtId="164" fontId="57" fillId="0" borderId="26" xfId="0" applyNumberFormat="1" applyFont="1" applyBorder="1" applyAlignment="1">
      <alignment horizontal="right"/>
    </xf>
    <xf numFmtId="4" fontId="58" fillId="0" borderId="0" xfId="0" applyNumberFormat="1" applyFont="1" applyAlignment="1">
      <alignment horizontal="right"/>
    </xf>
    <xf numFmtId="4" fontId="58" fillId="0" borderId="0" xfId="0" applyNumberFormat="1" applyFont="1" applyAlignment="1">
      <alignment/>
    </xf>
    <xf numFmtId="4" fontId="58" fillId="0" borderId="20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/>
    </xf>
    <xf numFmtId="164" fontId="58" fillId="0" borderId="2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54" fillId="0" borderId="11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4" fontId="54" fillId="0" borderId="18" xfId="0" applyNumberFormat="1" applyFont="1" applyBorder="1" applyAlignment="1">
      <alignment/>
    </xf>
    <xf numFmtId="4" fontId="54" fillId="0" borderId="20" xfId="0" applyNumberFormat="1" applyFont="1" applyBorder="1" applyAlignment="1">
      <alignment horizontal="center" vertical="center"/>
    </xf>
    <xf numFmtId="4" fontId="54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54" fillId="0" borderId="11" xfId="0" applyNumberFormat="1" applyFont="1" applyBorder="1" applyAlignment="1">
      <alignment/>
    </xf>
    <xf numFmtId="164" fontId="54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54" fillId="0" borderId="17" xfId="0" applyNumberFormat="1" applyFont="1" applyBorder="1" applyAlignment="1">
      <alignment/>
    </xf>
    <xf numFmtId="164" fontId="54" fillId="0" borderId="18" xfId="0" applyNumberFormat="1" applyFont="1" applyBorder="1" applyAlignment="1">
      <alignment/>
    </xf>
    <xf numFmtId="164" fontId="54" fillId="0" borderId="20" xfId="0" applyNumberFormat="1" applyFont="1" applyBorder="1" applyAlignment="1">
      <alignment horizontal="center" vertical="center"/>
    </xf>
    <xf numFmtId="164" fontId="54" fillId="0" borderId="21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center"/>
    </xf>
    <xf numFmtId="3" fontId="54" fillId="0" borderId="14" xfId="0" applyNumberFormat="1" applyFont="1" applyBorder="1" applyAlignment="1">
      <alignment/>
    </xf>
    <xf numFmtId="3" fontId="54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4" fillId="0" borderId="27" xfId="0" applyFont="1" applyBorder="1" applyAlignment="1">
      <alignment/>
    </xf>
    <xf numFmtId="165" fontId="3" fillId="0" borderId="27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165" fontId="2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164" fontId="3" fillId="0" borderId="27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64" fontId="6" fillId="33" borderId="29" xfId="0" applyNumberFormat="1" applyFont="1" applyFill="1" applyBorder="1" applyAlignment="1">
      <alignment horizontal="center" vertical="center" wrapText="1"/>
    </xf>
    <xf numFmtId="164" fontId="6" fillId="33" borderId="28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 quotePrefix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64" fontId="58" fillId="0" borderId="3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5" fontId="58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58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8" fillId="0" borderId="30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13" sqref="K13"/>
    </sheetView>
  </sheetViews>
  <sheetFormatPr defaultColWidth="8.796875" defaultRowHeight="15"/>
  <cols>
    <col min="1" max="1" width="5.09765625" style="197" customWidth="1"/>
    <col min="2" max="2" width="42.5" style="197" customWidth="1"/>
    <col min="3" max="3" width="13.8984375" style="197" customWidth="1"/>
    <col min="4" max="4" width="12.09765625" style="224" customWidth="1"/>
    <col min="5" max="5" width="13.59765625" style="225" customWidth="1"/>
    <col min="6" max="6" width="10.8984375" style="225" customWidth="1"/>
    <col min="7" max="7" width="13.8984375" style="225" customWidth="1"/>
    <col min="8" max="8" width="11.59765625" style="226" customWidth="1"/>
    <col min="9" max="9" width="11.19921875" style="226" customWidth="1"/>
    <col min="10" max="10" width="0" style="197" hidden="1" customWidth="1"/>
    <col min="11" max="16384" width="9" style="197" customWidth="1"/>
  </cols>
  <sheetData>
    <row r="1" spans="1:10" s="192" customFormat="1" ht="18.75">
      <c r="A1" s="228" t="s">
        <v>344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s="192" customFormat="1" ht="18.75" customHeight="1">
      <c r="A2" s="229" t="str">
        <f>+'Tong du toan'!A7:G7</f>
        <v>C«ng tr×nh: n¢NG CÊP, SöA CH÷A §¦êNG TH¤N TAM HIÖP (giai ®o¹n 2), X· B×NH THµNh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s="192" customFormat="1" ht="18.75">
      <c r="A3" s="230" t="s">
        <v>345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9" ht="15">
      <c r="A4" s="193"/>
      <c r="B4" s="193"/>
      <c r="C4" s="193"/>
      <c r="D4" s="194"/>
      <c r="E4" s="195"/>
      <c r="F4" s="195"/>
      <c r="G4" s="195"/>
      <c r="H4" s="196"/>
      <c r="I4" s="196"/>
    </row>
    <row r="5" spans="1:10" s="192" customFormat="1" ht="93.75" customHeight="1">
      <c r="A5" s="198" t="s">
        <v>346</v>
      </c>
      <c r="B5" s="198" t="s">
        <v>347</v>
      </c>
      <c r="C5" s="198" t="s">
        <v>348</v>
      </c>
      <c r="D5" s="198" t="s">
        <v>349</v>
      </c>
      <c r="E5" s="198" t="s">
        <v>350</v>
      </c>
      <c r="F5" s="198" t="s">
        <v>351</v>
      </c>
      <c r="G5" s="198" t="s">
        <v>352</v>
      </c>
      <c r="H5" s="198" t="s">
        <v>353</v>
      </c>
      <c r="I5" s="198" t="s">
        <v>354</v>
      </c>
      <c r="J5" s="198" t="s">
        <v>355</v>
      </c>
    </row>
    <row r="6" spans="1:10" ht="18.75" customHeight="1">
      <c r="A6" s="199" t="s">
        <v>356</v>
      </c>
      <c r="B6" s="200" t="s">
        <v>357</v>
      </c>
      <c r="C6" s="201">
        <f>+SUM(C7:C8)</f>
        <v>0</v>
      </c>
      <c r="D6" s="231" t="s">
        <v>376</v>
      </c>
      <c r="E6" s="202"/>
      <c r="F6" s="202"/>
      <c r="G6" s="202"/>
      <c r="H6" s="203"/>
      <c r="I6" s="203"/>
      <c r="J6" s="204"/>
    </row>
    <row r="7" spans="1:10" ht="42" customHeight="1">
      <c r="A7" s="205" t="s">
        <v>2</v>
      </c>
      <c r="B7" s="206" t="s">
        <v>358</v>
      </c>
      <c r="C7" s="207">
        <f>+'Tong du toan'!M13/1000</f>
        <v>0</v>
      </c>
      <c r="D7" s="232"/>
      <c r="E7" s="208"/>
      <c r="F7" s="208"/>
      <c r="G7" s="209" t="s">
        <v>359</v>
      </c>
      <c r="H7" s="210"/>
      <c r="I7" s="210"/>
      <c r="J7" s="204"/>
    </row>
    <row r="8" spans="1:10" ht="40.5" customHeight="1">
      <c r="A8" s="205">
        <v>2</v>
      </c>
      <c r="B8" s="206" t="s">
        <v>360</v>
      </c>
      <c r="C8" s="207">
        <f>+'Tong du toan'!M14/1000</f>
        <v>0</v>
      </c>
      <c r="D8" s="232"/>
      <c r="E8" s="208"/>
      <c r="F8" s="208"/>
      <c r="G8" s="209" t="s">
        <v>359</v>
      </c>
      <c r="H8" s="210"/>
      <c r="I8" s="210"/>
      <c r="J8" s="204"/>
    </row>
    <row r="9" spans="1:10" s="193" customFormat="1" ht="37.5">
      <c r="A9" s="199" t="s">
        <v>361</v>
      </c>
      <c r="B9" s="211" t="s">
        <v>362</v>
      </c>
      <c r="C9" s="201">
        <f>+SUM(C10:C12)</f>
        <v>0</v>
      </c>
      <c r="D9" s="232"/>
      <c r="E9" s="202"/>
      <c r="F9" s="202"/>
      <c r="G9" s="202"/>
      <c r="H9" s="203"/>
      <c r="I9" s="203"/>
      <c r="J9" s="212"/>
    </row>
    <row r="10" spans="1:10" s="216" customFormat="1" ht="27" customHeight="1">
      <c r="A10" s="205">
        <v>1</v>
      </c>
      <c r="B10" s="206" t="s">
        <v>363</v>
      </c>
      <c r="C10" s="207">
        <f>+'Tong du toan'!M15/1000</f>
        <v>0</v>
      </c>
      <c r="D10" s="232"/>
      <c r="E10" s="213" t="s">
        <v>364</v>
      </c>
      <c r="F10" s="213"/>
      <c r="G10" s="209" t="s">
        <v>365</v>
      </c>
      <c r="H10" s="214" t="s">
        <v>366</v>
      </c>
      <c r="I10" s="214" t="s">
        <v>377</v>
      </c>
      <c r="J10" s="215"/>
    </row>
    <row r="11" spans="1:10" s="216" customFormat="1" ht="23.25" customHeight="1">
      <c r="A11" s="205">
        <v>2</v>
      </c>
      <c r="B11" s="206" t="s">
        <v>367</v>
      </c>
      <c r="C11" s="207">
        <f>+'Tong du toan'!M16/1000</f>
        <v>0</v>
      </c>
      <c r="D11" s="232"/>
      <c r="E11" s="209" t="s">
        <v>364</v>
      </c>
      <c r="F11" s="209"/>
      <c r="G11" s="209" t="s">
        <v>365</v>
      </c>
      <c r="H11" s="214" t="s">
        <v>366</v>
      </c>
      <c r="I11" s="214" t="s">
        <v>377</v>
      </c>
      <c r="J11" s="217"/>
    </row>
    <row r="12" spans="1:10" s="216" customFormat="1" ht="23.25" customHeight="1">
      <c r="A12" s="205">
        <v>3</v>
      </c>
      <c r="B12" s="206" t="s">
        <v>375</v>
      </c>
      <c r="C12" s="207">
        <f>+'Tong du toan'!M17/1000</f>
        <v>0</v>
      </c>
      <c r="D12" s="232"/>
      <c r="E12" s="209"/>
      <c r="F12" s="209"/>
      <c r="G12" s="209"/>
      <c r="H12" s="214"/>
      <c r="I12" s="214"/>
      <c r="J12" s="217"/>
    </row>
    <row r="13" spans="1:10" ht="42.75" customHeight="1">
      <c r="A13" s="199" t="s">
        <v>368</v>
      </c>
      <c r="B13" s="211" t="s">
        <v>369</v>
      </c>
      <c r="C13" s="201">
        <f>+SUM(C14:C14)</f>
        <v>0</v>
      </c>
      <c r="D13" s="232"/>
      <c r="E13" s="218"/>
      <c r="F13" s="218"/>
      <c r="G13" s="218"/>
      <c r="H13" s="219"/>
      <c r="I13" s="219"/>
      <c r="J13" s="204"/>
    </row>
    <row r="14" spans="1:10" ht="65.25" customHeight="1">
      <c r="A14" s="205">
        <v>1</v>
      </c>
      <c r="B14" s="206" t="s">
        <v>379</v>
      </c>
      <c r="C14" s="207">
        <f>+'Tong du toan'!M18/1000</f>
        <v>0</v>
      </c>
      <c r="D14" s="232"/>
      <c r="E14" s="208"/>
      <c r="F14" s="208"/>
      <c r="G14" s="208"/>
      <c r="H14" s="210"/>
      <c r="I14" s="210"/>
      <c r="J14" s="204"/>
    </row>
    <row r="15" spans="1:10" ht="18.75">
      <c r="A15" s="199" t="s">
        <v>370</v>
      </c>
      <c r="B15" s="211" t="s">
        <v>371</v>
      </c>
      <c r="C15" s="201">
        <f>+'Tong du toan'!M19/1000</f>
        <v>0</v>
      </c>
      <c r="D15" s="220"/>
      <c r="E15" s="208"/>
      <c r="F15" s="208"/>
      <c r="G15" s="208"/>
      <c r="H15" s="210"/>
      <c r="I15" s="210"/>
      <c r="J15" s="204"/>
    </row>
    <row r="16" spans="1:10" ht="18.75">
      <c r="A16" s="221" t="s">
        <v>0</v>
      </c>
      <c r="B16" s="222" t="s">
        <v>372</v>
      </c>
      <c r="C16" s="203">
        <f>+C15+C13+C9+C6</f>
        <v>0</v>
      </c>
      <c r="D16" s="223"/>
      <c r="E16" s="208"/>
      <c r="F16" s="208"/>
      <c r="G16" s="208"/>
      <c r="H16" s="210"/>
      <c r="I16" s="210"/>
      <c r="J16" s="204"/>
    </row>
    <row r="19" ht="15">
      <c r="C19" s="226"/>
    </row>
  </sheetData>
  <sheetProtection/>
  <mergeCells count="4">
    <mergeCell ref="A1:J1"/>
    <mergeCell ref="A2:J2"/>
    <mergeCell ref="A3:J3"/>
    <mergeCell ref="D6:D14"/>
  </mergeCells>
  <printOptions/>
  <pageMargins left="0.2" right="0.2" top="0.5" bottom="0.2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5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69921875" style="6" customWidth="1"/>
    <col min="2" max="2" width="9.69921875" style="6" customWidth="1"/>
    <col min="3" max="3" width="29.69921875" style="6" customWidth="1"/>
    <col min="4" max="4" width="5.09765625" style="6" customWidth="1"/>
    <col min="5" max="6" width="10.69921875" style="176" customWidth="1"/>
    <col min="7" max="7" width="13.5" style="176" customWidth="1"/>
    <col min="8" max="16384" width="9" style="6" customWidth="1"/>
  </cols>
  <sheetData>
    <row r="1" spans="1:7" ht="21">
      <c r="A1" s="237" t="s">
        <v>305</v>
      </c>
      <c r="B1" s="237"/>
      <c r="C1" s="237"/>
      <c r="D1" s="237"/>
      <c r="E1" s="237"/>
      <c r="F1" s="237"/>
      <c r="G1" s="237"/>
    </row>
    <row r="2" spans="1:7" ht="15.75">
      <c r="A2" s="2"/>
      <c r="B2" s="2"/>
      <c r="C2" s="2"/>
      <c r="D2" s="2"/>
      <c r="E2" s="3"/>
      <c r="F2" s="3"/>
      <c r="G2" s="3"/>
    </row>
    <row r="3" spans="1:7" s="38" customFormat="1" ht="16.5">
      <c r="A3" s="229" t="s">
        <v>237</v>
      </c>
      <c r="B3" s="229"/>
      <c r="C3" s="229"/>
      <c r="D3" s="229"/>
      <c r="E3" s="229"/>
      <c r="F3" s="229"/>
      <c r="G3" s="229"/>
    </row>
    <row r="4" spans="1:7" s="38" customFormat="1" ht="16.5">
      <c r="A4" s="229" t="s">
        <v>238</v>
      </c>
      <c r="B4" s="229"/>
      <c r="C4" s="229"/>
      <c r="D4" s="229"/>
      <c r="E4" s="229"/>
      <c r="F4" s="229"/>
      <c r="G4" s="229"/>
    </row>
    <row r="5" spans="1:7" s="38" customFormat="1" ht="16.5">
      <c r="A5" s="229"/>
      <c r="B5" s="229"/>
      <c r="C5" s="229"/>
      <c r="D5" s="229"/>
      <c r="E5" s="229"/>
      <c r="F5" s="229"/>
      <c r="G5" s="229"/>
    </row>
    <row r="6" spans="1:7" ht="16.5" thickBot="1">
      <c r="A6" s="2"/>
      <c r="B6" s="2"/>
      <c r="C6" s="2"/>
      <c r="D6" s="2"/>
      <c r="E6" s="3"/>
      <c r="F6" s="3"/>
      <c r="G6" s="3"/>
    </row>
    <row r="7" spans="1:7" ht="45" customHeight="1">
      <c r="A7" s="33" t="s">
        <v>120</v>
      </c>
      <c r="B7" s="35" t="s">
        <v>249</v>
      </c>
      <c r="C7" s="34" t="s">
        <v>250</v>
      </c>
      <c r="D7" s="35" t="s">
        <v>259</v>
      </c>
      <c r="E7" s="185" t="s">
        <v>304</v>
      </c>
      <c r="F7" s="185" t="s">
        <v>260</v>
      </c>
      <c r="G7" s="186" t="s">
        <v>301</v>
      </c>
    </row>
    <row r="8" spans="1:7" ht="15.75">
      <c r="A8" s="19" t="s">
        <v>0</v>
      </c>
      <c r="B8" s="20" t="s">
        <v>0</v>
      </c>
      <c r="C8" s="20" t="s">
        <v>1</v>
      </c>
      <c r="D8" s="20" t="s">
        <v>0</v>
      </c>
      <c r="E8" s="183"/>
      <c r="F8" s="183"/>
      <c r="G8" s="184"/>
    </row>
    <row r="9" spans="1:7" ht="15">
      <c r="A9" s="12" t="s">
        <v>0</v>
      </c>
      <c r="B9" s="13" t="s">
        <v>0</v>
      </c>
      <c r="C9" s="13" t="s">
        <v>0</v>
      </c>
      <c r="D9" s="13" t="s">
        <v>0</v>
      </c>
      <c r="E9" s="179"/>
      <c r="F9" s="179"/>
      <c r="G9" s="180"/>
    </row>
    <row r="10" spans="1:7" ht="15">
      <c r="A10" s="12" t="s">
        <v>2</v>
      </c>
      <c r="B10" s="13" t="s">
        <v>3</v>
      </c>
      <c r="C10" s="13" t="s">
        <v>4</v>
      </c>
      <c r="D10" s="13" t="s">
        <v>5</v>
      </c>
      <c r="E10" s="179">
        <f>'Du toan chi tiet'!E10</f>
        <v>37.5</v>
      </c>
      <c r="F10" s="179"/>
      <c r="G10" s="180"/>
    </row>
    <row r="11" spans="1:7" ht="15">
      <c r="A11" s="12" t="s">
        <v>0</v>
      </c>
      <c r="B11" s="13" t="s">
        <v>0</v>
      </c>
      <c r="C11" s="13" t="s">
        <v>6</v>
      </c>
      <c r="D11" s="13" t="s">
        <v>0</v>
      </c>
      <c r="E11" s="179"/>
      <c r="F11" s="179"/>
      <c r="G11" s="180"/>
    </row>
    <row r="12" spans="1:7" ht="15">
      <c r="A12" s="12" t="s">
        <v>0</v>
      </c>
      <c r="B12" s="13" t="s">
        <v>0</v>
      </c>
      <c r="C12" s="13" t="s">
        <v>7</v>
      </c>
      <c r="D12" s="13" t="s">
        <v>8</v>
      </c>
      <c r="E12" s="179"/>
      <c r="F12" s="179">
        <f>1.22</f>
        <v>1.22</v>
      </c>
      <c r="G12" s="180">
        <f>E10*F12</f>
        <v>45.75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179"/>
      <c r="F13" s="179">
        <f>0.0149</f>
        <v>0.0149</v>
      </c>
      <c r="G13" s="180">
        <f>E10*F13</f>
        <v>0.55875</v>
      </c>
    </row>
    <row r="14" spans="1:7" ht="15">
      <c r="A14" s="12" t="s">
        <v>0</v>
      </c>
      <c r="B14" s="13" t="s">
        <v>0</v>
      </c>
      <c r="C14" s="13" t="s">
        <v>11</v>
      </c>
      <c r="D14" s="13" t="s">
        <v>12</v>
      </c>
      <c r="E14" s="179"/>
      <c r="F14" s="179">
        <f>0.00342</f>
        <v>0.00342</v>
      </c>
      <c r="G14" s="180">
        <f>E10*F14</f>
        <v>0.12825</v>
      </c>
    </row>
    <row r="15" spans="1:7" ht="15">
      <c r="A15" s="12" t="s">
        <v>0</v>
      </c>
      <c r="B15" s="13" t="s">
        <v>0</v>
      </c>
      <c r="C15" s="13" t="s">
        <v>13</v>
      </c>
      <c r="D15" s="13" t="s">
        <v>12</v>
      </c>
      <c r="E15" s="179"/>
      <c r="F15" s="179">
        <f>0.00171</f>
        <v>0.00171</v>
      </c>
      <c r="G15" s="180">
        <f>E10*F15</f>
        <v>0.064125</v>
      </c>
    </row>
    <row r="16" spans="1:7" ht="15">
      <c r="A16" s="12" t="s">
        <v>0</v>
      </c>
      <c r="B16" s="13" t="s">
        <v>0</v>
      </c>
      <c r="C16" s="13" t="s">
        <v>0</v>
      </c>
      <c r="D16" s="13" t="s">
        <v>0</v>
      </c>
      <c r="E16" s="179"/>
      <c r="F16" s="179"/>
      <c r="G16" s="180"/>
    </row>
    <row r="17" spans="1:7" ht="15">
      <c r="A17" s="12" t="s">
        <v>14</v>
      </c>
      <c r="B17" s="13" t="s">
        <v>15</v>
      </c>
      <c r="C17" s="13" t="s">
        <v>16</v>
      </c>
      <c r="D17" s="13" t="s">
        <v>17</v>
      </c>
      <c r="E17" s="179">
        <f>'Du toan chi tiet'!E12</f>
        <v>1294.9</v>
      </c>
      <c r="F17" s="179"/>
      <c r="G17" s="180"/>
    </row>
    <row r="18" spans="1:7" ht="15">
      <c r="A18" s="12" t="s">
        <v>0</v>
      </c>
      <c r="B18" s="13" t="s">
        <v>0</v>
      </c>
      <c r="C18" s="13" t="s">
        <v>18</v>
      </c>
      <c r="D18" s="13" t="s">
        <v>19</v>
      </c>
      <c r="E18" s="179"/>
      <c r="F18" s="179">
        <f>1.1</f>
        <v>1.1</v>
      </c>
      <c r="G18" s="180">
        <f>E17*F18</f>
        <v>1424.3900000000003</v>
      </c>
    </row>
    <row r="19" spans="1:7" ht="15">
      <c r="A19" s="12" t="s">
        <v>0</v>
      </c>
      <c r="B19" s="13" t="s">
        <v>0</v>
      </c>
      <c r="C19" s="13" t="s">
        <v>20</v>
      </c>
      <c r="D19" s="13" t="s">
        <v>10</v>
      </c>
      <c r="E19" s="179"/>
      <c r="F19" s="179">
        <f>0.0015</f>
        <v>0.0015</v>
      </c>
      <c r="G19" s="180">
        <f>E17*F19</f>
        <v>1.9423500000000002</v>
      </c>
    </row>
    <row r="20" spans="1:7" ht="15">
      <c r="A20" s="12" t="s">
        <v>0</v>
      </c>
      <c r="B20" s="13" t="s">
        <v>0</v>
      </c>
      <c r="C20" s="13" t="s">
        <v>0</v>
      </c>
      <c r="D20" s="13" t="s">
        <v>0</v>
      </c>
      <c r="E20" s="179"/>
      <c r="F20" s="179"/>
      <c r="G20" s="180"/>
    </row>
    <row r="21" spans="1:7" ht="15">
      <c r="A21" s="12" t="s">
        <v>21</v>
      </c>
      <c r="B21" s="13" t="s">
        <v>22</v>
      </c>
      <c r="C21" s="13" t="s">
        <v>23</v>
      </c>
      <c r="D21" s="13" t="s">
        <v>17</v>
      </c>
      <c r="E21" s="179">
        <f>'Du toan chi tiet'!E14</f>
        <v>206.1</v>
      </c>
      <c r="F21" s="179"/>
      <c r="G21" s="180"/>
    </row>
    <row r="22" spans="1:7" ht="15">
      <c r="A22" s="12" t="s">
        <v>0</v>
      </c>
      <c r="B22" s="13" t="s">
        <v>0</v>
      </c>
      <c r="C22" s="13" t="s">
        <v>24</v>
      </c>
      <c r="D22" s="13" t="s">
        <v>25</v>
      </c>
      <c r="E22" s="179"/>
      <c r="F22" s="179">
        <f>0.315</f>
        <v>0.315</v>
      </c>
      <c r="G22" s="180">
        <f>E21*F22</f>
        <v>64.9215</v>
      </c>
    </row>
    <row r="23" spans="1:7" ht="15">
      <c r="A23" s="12" t="s">
        <v>0</v>
      </c>
      <c r="B23" s="13" t="s">
        <v>0</v>
      </c>
      <c r="C23" s="13" t="s">
        <v>26</v>
      </c>
      <c r="D23" s="13" t="s">
        <v>25</v>
      </c>
      <c r="E23" s="179"/>
      <c r="F23" s="179">
        <f>0.0158</f>
        <v>0.0158</v>
      </c>
      <c r="G23" s="180">
        <f>E21*F23</f>
        <v>3.25638</v>
      </c>
    </row>
    <row r="24" spans="1:7" ht="15">
      <c r="A24" s="12" t="s">
        <v>0</v>
      </c>
      <c r="B24" s="13" t="s">
        <v>0</v>
      </c>
      <c r="C24" s="13" t="s">
        <v>27</v>
      </c>
      <c r="D24" s="13" t="s">
        <v>10</v>
      </c>
      <c r="E24" s="179"/>
      <c r="F24" s="179">
        <f>0.115</f>
        <v>0.115</v>
      </c>
      <c r="G24" s="180">
        <f>E21*F24</f>
        <v>23.7015</v>
      </c>
    </row>
    <row r="25" spans="1:7" ht="15">
      <c r="A25" s="12" t="s">
        <v>0</v>
      </c>
      <c r="B25" s="13" t="s">
        <v>0</v>
      </c>
      <c r="C25" s="13" t="s">
        <v>28</v>
      </c>
      <c r="D25" s="13" t="s">
        <v>12</v>
      </c>
      <c r="E25" s="179"/>
      <c r="F25" s="179">
        <f>0.0042</f>
        <v>0.0042</v>
      </c>
      <c r="G25" s="180">
        <f>E21*F25</f>
        <v>0.86562</v>
      </c>
    </row>
    <row r="26" spans="1:7" ht="15">
      <c r="A26" s="12" t="s">
        <v>0</v>
      </c>
      <c r="B26" s="13" t="s">
        <v>0</v>
      </c>
      <c r="C26" s="13" t="s">
        <v>0</v>
      </c>
      <c r="D26" s="13" t="s">
        <v>0</v>
      </c>
      <c r="E26" s="179"/>
      <c r="F26" s="179"/>
      <c r="G26" s="180"/>
    </row>
    <row r="27" spans="1:7" ht="15">
      <c r="A27" s="12" t="s">
        <v>29</v>
      </c>
      <c r="B27" s="13" t="s">
        <v>30</v>
      </c>
      <c r="C27" s="13" t="s">
        <v>31</v>
      </c>
      <c r="D27" s="13" t="s">
        <v>5</v>
      </c>
      <c r="E27" s="179">
        <f>'Du toan chi tiet'!E16</f>
        <v>291.978</v>
      </c>
      <c r="F27" s="179"/>
      <c r="G27" s="180"/>
    </row>
    <row r="28" spans="1:7" ht="15">
      <c r="A28" s="12" t="s">
        <v>0</v>
      </c>
      <c r="B28" s="13" t="s">
        <v>0</v>
      </c>
      <c r="C28" s="13" t="s">
        <v>32</v>
      </c>
      <c r="D28" s="13" t="s">
        <v>0</v>
      </c>
      <c r="E28" s="179"/>
      <c r="F28" s="179"/>
      <c r="G28" s="180"/>
    </row>
    <row r="29" spans="1:7" ht="15">
      <c r="A29" s="12" t="s">
        <v>0</v>
      </c>
      <c r="B29" s="13" t="s">
        <v>0</v>
      </c>
      <c r="C29" s="13" t="s">
        <v>33</v>
      </c>
      <c r="D29" s="13" t="s">
        <v>8</v>
      </c>
      <c r="E29" s="179"/>
      <c r="F29" s="179">
        <f>1.025</f>
        <v>1.025</v>
      </c>
      <c r="G29" s="180">
        <f>E27*F29</f>
        <v>299.27745</v>
      </c>
    </row>
    <row r="30" spans="1:7" ht="15">
      <c r="A30" s="12" t="s">
        <v>0</v>
      </c>
      <c r="B30" s="13" t="s">
        <v>0</v>
      </c>
      <c r="C30" s="13" t="s">
        <v>34</v>
      </c>
      <c r="D30" s="13" t="s">
        <v>8</v>
      </c>
      <c r="E30" s="179"/>
      <c r="F30" s="179">
        <f>0.014</f>
        <v>0.014</v>
      </c>
      <c r="G30" s="180">
        <f>E27*F30</f>
        <v>4.0876920000000005</v>
      </c>
    </row>
    <row r="31" spans="1:7" ht="15">
      <c r="A31" s="12" t="s">
        <v>0</v>
      </c>
      <c r="B31" s="13" t="s">
        <v>0</v>
      </c>
      <c r="C31" s="13" t="s">
        <v>35</v>
      </c>
      <c r="D31" s="13" t="s">
        <v>25</v>
      </c>
      <c r="E31" s="179"/>
      <c r="F31" s="179">
        <f>3.5</f>
        <v>3.5</v>
      </c>
      <c r="G31" s="180">
        <f>E27*F31</f>
        <v>1021.923</v>
      </c>
    </row>
    <row r="32" spans="1:7" ht="15">
      <c r="A32" s="12" t="s">
        <v>0</v>
      </c>
      <c r="B32" s="13" t="s">
        <v>0</v>
      </c>
      <c r="C32" s="13" t="s">
        <v>20</v>
      </c>
      <c r="D32" s="13" t="s">
        <v>10</v>
      </c>
      <c r="E32" s="179"/>
      <c r="F32" s="179">
        <f>0.44</f>
        <v>0.44</v>
      </c>
      <c r="G32" s="180">
        <f>E27*F32</f>
        <v>128.47032000000002</v>
      </c>
    </row>
    <row r="33" spans="1:7" ht="15">
      <c r="A33" s="12" t="s">
        <v>0</v>
      </c>
      <c r="B33" s="13" t="s">
        <v>0</v>
      </c>
      <c r="C33" s="13" t="s">
        <v>36</v>
      </c>
      <c r="D33" s="13" t="s">
        <v>12</v>
      </c>
      <c r="E33" s="179"/>
      <c r="F33" s="179">
        <f>0.089</f>
        <v>0.089</v>
      </c>
      <c r="G33" s="180">
        <f>E27*F33</f>
        <v>25.986042</v>
      </c>
    </row>
    <row r="34" spans="1:7" ht="15">
      <c r="A34" s="12" t="s">
        <v>0</v>
      </c>
      <c r="B34" s="13" t="s">
        <v>0</v>
      </c>
      <c r="C34" s="13" t="s">
        <v>37</v>
      </c>
      <c r="D34" s="13" t="s">
        <v>12</v>
      </c>
      <c r="E34" s="179"/>
      <c r="F34" s="179">
        <f>0.089</f>
        <v>0.089</v>
      </c>
      <c r="G34" s="180">
        <f>E27*F34</f>
        <v>25.986042</v>
      </c>
    </row>
    <row r="35" spans="1:7" ht="15">
      <c r="A35" s="12" t="s">
        <v>0</v>
      </c>
      <c r="B35" s="13" t="s">
        <v>0</v>
      </c>
      <c r="C35" s="13" t="s">
        <v>0</v>
      </c>
      <c r="D35" s="13" t="s">
        <v>0</v>
      </c>
      <c r="E35" s="179"/>
      <c r="F35" s="179"/>
      <c r="G35" s="180"/>
    </row>
    <row r="36" spans="1:7" ht="15">
      <c r="A36" s="12" t="s">
        <v>0</v>
      </c>
      <c r="B36" s="13" t="s">
        <v>0</v>
      </c>
      <c r="C36" s="13" t="s">
        <v>0</v>
      </c>
      <c r="D36" s="13" t="s">
        <v>0</v>
      </c>
      <c r="E36" s="179"/>
      <c r="F36" s="179"/>
      <c r="G36" s="180"/>
    </row>
    <row r="37" spans="1:7" ht="15.75">
      <c r="A37" s="8" t="s">
        <v>0</v>
      </c>
      <c r="B37" s="9" t="s">
        <v>0</v>
      </c>
      <c r="C37" s="9" t="s">
        <v>38</v>
      </c>
      <c r="D37" s="9" t="s">
        <v>0</v>
      </c>
      <c r="E37" s="177"/>
      <c r="F37" s="177"/>
      <c r="G37" s="178"/>
    </row>
    <row r="38" spans="1:7" ht="15">
      <c r="A38" s="12" t="s">
        <v>0</v>
      </c>
      <c r="B38" s="13" t="s">
        <v>0</v>
      </c>
      <c r="C38" s="13" t="s">
        <v>0</v>
      </c>
      <c r="D38" s="13" t="s">
        <v>0</v>
      </c>
      <c r="E38" s="179"/>
      <c r="F38" s="179"/>
      <c r="G38" s="180"/>
    </row>
    <row r="39" spans="1:7" ht="15">
      <c r="A39" s="12" t="s">
        <v>39</v>
      </c>
      <c r="B39" s="13" t="s">
        <v>40</v>
      </c>
      <c r="C39" s="13" t="s">
        <v>41</v>
      </c>
      <c r="D39" s="13" t="s">
        <v>5</v>
      </c>
      <c r="E39" s="179">
        <f>'Du toan chi tiet'!E19</f>
        <v>350.5</v>
      </c>
      <c r="F39" s="179"/>
      <c r="G39" s="180"/>
    </row>
    <row r="40" spans="1:7" ht="15">
      <c r="A40" s="12" t="s">
        <v>0</v>
      </c>
      <c r="B40" s="13" t="s">
        <v>0</v>
      </c>
      <c r="C40" s="13" t="s">
        <v>42</v>
      </c>
      <c r="D40" s="13" t="s">
        <v>0</v>
      </c>
      <c r="E40" s="179"/>
      <c r="F40" s="179"/>
      <c r="G40" s="180"/>
    </row>
    <row r="41" spans="1:7" ht="15">
      <c r="A41" s="12" t="s">
        <v>0</v>
      </c>
      <c r="B41" s="13" t="s">
        <v>0</v>
      </c>
      <c r="C41" s="13" t="s">
        <v>9</v>
      </c>
      <c r="D41" s="13" t="s">
        <v>10</v>
      </c>
      <c r="E41" s="179"/>
      <c r="F41" s="179">
        <f>0.0051</f>
        <v>0.0051</v>
      </c>
      <c r="G41" s="180">
        <f>E39*F41</f>
        <v>1.7875500000000002</v>
      </c>
    </row>
    <row r="42" spans="1:7" ht="15">
      <c r="A42" s="12" t="s">
        <v>0</v>
      </c>
      <c r="B42" s="13" t="s">
        <v>0</v>
      </c>
      <c r="C42" s="13" t="s">
        <v>43</v>
      </c>
      <c r="D42" s="13" t="s">
        <v>12</v>
      </c>
      <c r="E42" s="179"/>
      <c r="F42" s="179">
        <f>0.00218</f>
        <v>0.00218</v>
      </c>
      <c r="G42" s="180">
        <f>E39*F42</f>
        <v>0.76409</v>
      </c>
    </row>
    <row r="43" spans="1:7" ht="15">
      <c r="A43" s="12" t="s">
        <v>0</v>
      </c>
      <c r="B43" s="13" t="s">
        <v>0</v>
      </c>
      <c r="C43" s="13" t="s">
        <v>13</v>
      </c>
      <c r="D43" s="13" t="s">
        <v>12</v>
      </c>
      <c r="E43" s="179"/>
      <c r="F43" s="179">
        <f>0.00029</f>
        <v>0.00029</v>
      </c>
      <c r="G43" s="180">
        <f>E39*F43</f>
        <v>0.101645</v>
      </c>
    </row>
    <row r="44" spans="1:7" ht="15">
      <c r="A44" s="12" t="s">
        <v>0</v>
      </c>
      <c r="B44" s="13" t="s">
        <v>0</v>
      </c>
      <c r="C44" s="13" t="s">
        <v>0</v>
      </c>
      <c r="D44" s="13" t="s">
        <v>0</v>
      </c>
      <c r="E44" s="179"/>
      <c r="F44" s="179"/>
      <c r="G44" s="180"/>
    </row>
    <row r="45" spans="1:7" ht="15">
      <c r="A45" s="12" t="s">
        <v>44</v>
      </c>
      <c r="B45" s="13" t="s">
        <v>45</v>
      </c>
      <c r="C45" s="13" t="s">
        <v>46</v>
      </c>
      <c r="D45" s="13" t="s">
        <v>5</v>
      </c>
      <c r="E45" s="179">
        <f>'Du toan chi tiet'!E21</f>
        <v>415</v>
      </c>
      <c r="F45" s="179"/>
      <c r="G45" s="180"/>
    </row>
    <row r="46" spans="1:7" ht="15">
      <c r="A46" s="12" t="s">
        <v>0</v>
      </c>
      <c r="B46" s="13" t="s">
        <v>0</v>
      </c>
      <c r="C46" s="13" t="s">
        <v>47</v>
      </c>
      <c r="D46" s="13" t="s">
        <v>0</v>
      </c>
      <c r="E46" s="179"/>
      <c r="F46" s="179"/>
      <c r="G46" s="180"/>
    </row>
    <row r="47" spans="1:7" ht="15">
      <c r="A47" s="12" t="s">
        <v>0</v>
      </c>
      <c r="B47" s="13" t="s">
        <v>0</v>
      </c>
      <c r="C47" s="13" t="s">
        <v>9</v>
      </c>
      <c r="D47" s="13" t="s">
        <v>10</v>
      </c>
      <c r="E47" s="179"/>
      <c r="F47" s="179">
        <f>0.0406</f>
        <v>0.0406</v>
      </c>
      <c r="G47" s="180">
        <f>E45*F47</f>
        <v>16.849</v>
      </c>
    </row>
    <row r="48" spans="1:7" ht="15">
      <c r="A48" s="12" t="s">
        <v>0</v>
      </c>
      <c r="B48" s="13" t="s">
        <v>0</v>
      </c>
      <c r="C48" s="13" t="s">
        <v>43</v>
      </c>
      <c r="D48" s="13" t="s">
        <v>12</v>
      </c>
      <c r="E48" s="179"/>
      <c r="F48" s="179">
        <f>0.00311</f>
        <v>0.00311</v>
      </c>
      <c r="G48" s="180">
        <f>E45*F48</f>
        <v>1.29065</v>
      </c>
    </row>
    <row r="49" spans="1:7" ht="15">
      <c r="A49" s="12" t="s">
        <v>0</v>
      </c>
      <c r="B49" s="13" t="s">
        <v>0</v>
      </c>
      <c r="C49" s="13" t="s">
        <v>13</v>
      </c>
      <c r="D49" s="13" t="s">
        <v>12</v>
      </c>
      <c r="E49" s="179"/>
      <c r="F49" s="179">
        <f>0.0004</f>
        <v>0.0004</v>
      </c>
      <c r="G49" s="180">
        <f>E45*F49</f>
        <v>0.166</v>
      </c>
    </row>
    <row r="50" spans="1:7" ht="15">
      <c r="A50" s="12" t="s">
        <v>0</v>
      </c>
      <c r="B50" s="13" t="s">
        <v>0</v>
      </c>
      <c r="C50" s="13" t="s">
        <v>0</v>
      </c>
      <c r="D50" s="13" t="s">
        <v>0</v>
      </c>
      <c r="E50" s="179"/>
      <c r="F50" s="179"/>
      <c r="G50" s="180"/>
    </row>
    <row r="51" spans="1:7" ht="15">
      <c r="A51" s="12" t="s">
        <v>48</v>
      </c>
      <c r="B51" s="13" t="s">
        <v>49</v>
      </c>
      <c r="C51" s="13" t="s">
        <v>50</v>
      </c>
      <c r="D51" s="13" t="s">
        <v>5</v>
      </c>
      <c r="E51" s="179">
        <f>'Du toan chi tiet'!E23</f>
        <v>52.316</v>
      </c>
      <c r="F51" s="179"/>
      <c r="G51" s="180"/>
    </row>
    <row r="52" spans="1:7" ht="15">
      <c r="A52" s="12" t="s">
        <v>0</v>
      </c>
      <c r="B52" s="13" t="s">
        <v>0</v>
      </c>
      <c r="C52" s="13" t="s">
        <v>51</v>
      </c>
      <c r="D52" s="13" t="s">
        <v>0</v>
      </c>
      <c r="E52" s="179"/>
      <c r="F52" s="179"/>
      <c r="G52" s="180"/>
    </row>
    <row r="53" spans="1:7" ht="15">
      <c r="A53" s="12" t="s">
        <v>0</v>
      </c>
      <c r="B53" s="13" t="s">
        <v>0</v>
      </c>
      <c r="C53" s="13" t="s">
        <v>9</v>
      </c>
      <c r="D53" s="13" t="s">
        <v>10</v>
      </c>
      <c r="E53" s="179"/>
      <c r="F53" s="179">
        <f>0.013</f>
        <v>0.013</v>
      </c>
      <c r="G53" s="180">
        <f>E51*F53</f>
        <v>0.680108</v>
      </c>
    </row>
    <row r="54" spans="1:7" ht="15">
      <c r="A54" s="12" t="s">
        <v>0</v>
      </c>
      <c r="B54" s="13" t="s">
        <v>0</v>
      </c>
      <c r="C54" s="13" t="s">
        <v>52</v>
      </c>
      <c r="D54" s="13" t="s">
        <v>12</v>
      </c>
      <c r="E54" s="179"/>
      <c r="F54" s="179">
        <f>0.022</f>
        <v>0.022</v>
      </c>
      <c r="G54" s="180">
        <f>E51*F54</f>
        <v>1.150952</v>
      </c>
    </row>
    <row r="55" spans="1:7" ht="15">
      <c r="A55" s="12" t="s">
        <v>0</v>
      </c>
      <c r="B55" s="13" t="s">
        <v>0</v>
      </c>
      <c r="C55" s="13" t="s">
        <v>0</v>
      </c>
      <c r="D55" s="13" t="s">
        <v>0</v>
      </c>
      <c r="E55" s="179"/>
      <c r="F55" s="179"/>
      <c r="G55" s="180"/>
    </row>
    <row r="56" spans="1:7" ht="15">
      <c r="A56" s="12" t="s">
        <v>53</v>
      </c>
      <c r="B56" s="13" t="s">
        <v>54</v>
      </c>
      <c r="C56" s="13" t="s">
        <v>55</v>
      </c>
      <c r="D56" s="13" t="s">
        <v>5</v>
      </c>
      <c r="E56" s="179">
        <f>'Du toan chi tiet'!E25</f>
        <v>98.423</v>
      </c>
      <c r="F56" s="179"/>
      <c r="G56" s="180"/>
    </row>
    <row r="57" spans="1:7" ht="15">
      <c r="A57" s="12" t="s">
        <v>0</v>
      </c>
      <c r="B57" s="13" t="s">
        <v>0</v>
      </c>
      <c r="C57" s="13" t="s">
        <v>56</v>
      </c>
      <c r="D57" s="13" t="s">
        <v>8</v>
      </c>
      <c r="E57" s="179"/>
      <c r="F57" s="179">
        <f>1</f>
        <v>1</v>
      </c>
      <c r="G57" s="180">
        <f>E56*F57</f>
        <v>98.423</v>
      </c>
    </row>
    <row r="58" spans="1:7" ht="15">
      <c r="A58" s="12" t="s">
        <v>0</v>
      </c>
      <c r="B58" s="13" t="s">
        <v>0</v>
      </c>
      <c r="C58" s="13" t="s">
        <v>0</v>
      </c>
      <c r="D58" s="13" t="s">
        <v>0</v>
      </c>
      <c r="E58" s="179"/>
      <c r="F58" s="179"/>
      <c r="G58" s="180"/>
    </row>
    <row r="59" spans="1:7" ht="15">
      <c r="A59" s="12" t="s">
        <v>57</v>
      </c>
      <c r="B59" s="13" t="s">
        <v>58</v>
      </c>
      <c r="C59" s="13" t="s">
        <v>59</v>
      </c>
      <c r="D59" s="13" t="s">
        <v>5</v>
      </c>
      <c r="E59" s="179">
        <f>'Du toan chi tiet'!E27</f>
        <v>130.3</v>
      </c>
      <c r="F59" s="179"/>
      <c r="G59" s="180"/>
    </row>
    <row r="60" spans="1:7" ht="15">
      <c r="A60" s="12" t="s">
        <v>0</v>
      </c>
      <c r="B60" s="13" t="s">
        <v>0</v>
      </c>
      <c r="C60" s="13" t="s">
        <v>6</v>
      </c>
      <c r="D60" s="13" t="s">
        <v>0</v>
      </c>
      <c r="E60" s="179"/>
      <c r="F60" s="179"/>
      <c r="G60" s="180"/>
    </row>
    <row r="61" spans="1:7" ht="15">
      <c r="A61" s="12" t="s">
        <v>0</v>
      </c>
      <c r="B61" s="13" t="s">
        <v>0</v>
      </c>
      <c r="C61" s="13" t="s">
        <v>9</v>
      </c>
      <c r="D61" s="13" t="s">
        <v>10</v>
      </c>
      <c r="E61" s="179"/>
      <c r="F61" s="179">
        <f>0.0127</f>
        <v>0.0127</v>
      </c>
      <c r="G61" s="180">
        <f>E59*F61</f>
        <v>1.6548100000000001</v>
      </c>
    </row>
    <row r="62" spans="1:7" ht="15">
      <c r="A62" s="12" t="s">
        <v>0</v>
      </c>
      <c r="B62" s="13" t="s">
        <v>0</v>
      </c>
      <c r="C62" s="13" t="s">
        <v>60</v>
      </c>
      <c r="D62" s="13" t="s">
        <v>12</v>
      </c>
      <c r="E62" s="179"/>
      <c r="F62" s="179">
        <f>0.00294</f>
        <v>0.00294</v>
      </c>
      <c r="G62" s="180">
        <f>E59*F62</f>
        <v>0.38308200000000003</v>
      </c>
    </row>
    <row r="63" spans="1:7" ht="15">
      <c r="A63" s="12" t="s">
        <v>0</v>
      </c>
      <c r="B63" s="13" t="s">
        <v>0</v>
      </c>
      <c r="C63" s="13" t="s">
        <v>13</v>
      </c>
      <c r="D63" s="13" t="s">
        <v>12</v>
      </c>
      <c r="E63" s="179"/>
      <c r="F63" s="179">
        <f>0.00147</f>
        <v>0.00147</v>
      </c>
      <c r="G63" s="180">
        <f>E59*F63</f>
        <v>0.19154100000000002</v>
      </c>
    </row>
    <row r="64" spans="1:7" ht="15">
      <c r="A64" s="12" t="s">
        <v>0</v>
      </c>
      <c r="B64" s="13" t="s">
        <v>0</v>
      </c>
      <c r="C64" s="13" t="s">
        <v>0</v>
      </c>
      <c r="D64" s="13" t="s">
        <v>0</v>
      </c>
      <c r="E64" s="179"/>
      <c r="F64" s="179"/>
      <c r="G64" s="180"/>
    </row>
    <row r="65" spans="1:7" ht="15">
      <c r="A65" s="12" t="s">
        <v>61</v>
      </c>
      <c r="B65" s="13" t="s">
        <v>62</v>
      </c>
      <c r="C65" s="13" t="s">
        <v>63</v>
      </c>
      <c r="D65" s="13" t="s">
        <v>5</v>
      </c>
      <c r="E65" s="179">
        <f>'Du toan chi tiet'!E29</f>
        <v>371.8</v>
      </c>
      <c r="F65" s="179"/>
      <c r="G65" s="180"/>
    </row>
    <row r="66" spans="1:7" ht="15">
      <c r="A66" s="12" t="s">
        <v>0</v>
      </c>
      <c r="B66" s="13" t="s">
        <v>0</v>
      </c>
      <c r="C66" s="13" t="s">
        <v>6</v>
      </c>
      <c r="D66" s="13" t="s">
        <v>0</v>
      </c>
      <c r="E66" s="179"/>
      <c r="F66" s="179"/>
      <c r="G66" s="180"/>
    </row>
    <row r="67" spans="1:7" ht="15">
      <c r="A67" s="12" t="s">
        <v>0</v>
      </c>
      <c r="B67" s="13" t="s">
        <v>0</v>
      </c>
      <c r="C67" s="13" t="s">
        <v>9</v>
      </c>
      <c r="D67" s="13" t="s">
        <v>10</v>
      </c>
      <c r="E67" s="179"/>
      <c r="F67" s="179">
        <f>0.0127</f>
        <v>0.0127</v>
      </c>
      <c r="G67" s="180">
        <f>E65*F67</f>
        <v>4.72186</v>
      </c>
    </row>
    <row r="68" spans="1:7" ht="15">
      <c r="A68" s="12" t="s">
        <v>0</v>
      </c>
      <c r="B68" s="13" t="s">
        <v>0</v>
      </c>
      <c r="C68" s="13" t="s">
        <v>60</v>
      </c>
      <c r="D68" s="13" t="s">
        <v>12</v>
      </c>
      <c r="E68" s="179"/>
      <c r="F68" s="179">
        <f>0.00294</f>
        <v>0.00294</v>
      </c>
      <c r="G68" s="180">
        <f>E65*F68</f>
        <v>1.093092</v>
      </c>
    </row>
    <row r="69" spans="1:7" ht="15">
      <c r="A69" s="12" t="s">
        <v>0</v>
      </c>
      <c r="B69" s="13" t="s">
        <v>0</v>
      </c>
      <c r="C69" s="13" t="s">
        <v>13</v>
      </c>
      <c r="D69" s="13" t="s">
        <v>12</v>
      </c>
      <c r="E69" s="179"/>
      <c r="F69" s="179">
        <f>0.00147</f>
        <v>0.00147</v>
      </c>
      <c r="G69" s="180">
        <f>E65*F69</f>
        <v>0.546546</v>
      </c>
    </row>
    <row r="70" spans="1:7" ht="15">
      <c r="A70" s="12" t="s">
        <v>0</v>
      </c>
      <c r="B70" s="13" t="s">
        <v>0</v>
      </c>
      <c r="C70" s="13" t="s">
        <v>0</v>
      </c>
      <c r="D70" s="13" t="s">
        <v>0</v>
      </c>
      <c r="E70" s="179"/>
      <c r="F70" s="179"/>
      <c r="G70" s="180"/>
    </row>
    <row r="71" spans="1:7" ht="15">
      <c r="A71" s="12" t="s">
        <v>64</v>
      </c>
      <c r="B71" s="13" t="s">
        <v>65</v>
      </c>
      <c r="C71" s="13" t="s">
        <v>66</v>
      </c>
      <c r="D71" s="13" t="s">
        <v>67</v>
      </c>
      <c r="E71" s="179">
        <f>'Du toan chi tiet'!E31</f>
        <v>52.316</v>
      </c>
      <c r="F71" s="179"/>
      <c r="G71" s="180"/>
    </row>
    <row r="72" spans="1:7" ht="15">
      <c r="A72" s="12" t="s">
        <v>0</v>
      </c>
      <c r="B72" s="13" t="s">
        <v>0</v>
      </c>
      <c r="C72" s="13" t="s">
        <v>68</v>
      </c>
      <c r="D72" s="13" t="s">
        <v>0</v>
      </c>
      <c r="E72" s="179"/>
      <c r="F72" s="179"/>
      <c r="G72" s="180"/>
    </row>
    <row r="73" spans="1:7" ht="15">
      <c r="A73" s="12" t="s">
        <v>0</v>
      </c>
      <c r="B73" s="13" t="s">
        <v>0</v>
      </c>
      <c r="C73" s="13" t="s">
        <v>69</v>
      </c>
      <c r="D73" s="13" t="s">
        <v>12</v>
      </c>
      <c r="E73" s="179"/>
      <c r="F73" s="179">
        <f>0.015</f>
        <v>0.015</v>
      </c>
      <c r="G73" s="180">
        <f>E71*F73</f>
        <v>0.78474</v>
      </c>
    </row>
    <row r="74" spans="1:7" ht="15">
      <c r="A74" s="12" t="s">
        <v>0</v>
      </c>
      <c r="B74" s="13" t="s">
        <v>0</v>
      </c>
      <c r="C74" s="13" t="s">
        <v>0</v>
      </c>
      <c r="D74" s="13" t="s">
        <v>0</v>
      </c>
      <c r="E74" s="179"/>
      <c r="F74" s="179"/>
      <c r="G74" s="180"/>
    </row>
    <row r="75" spans="1:7" ht="15">
      <c r="A75" s="12" t="s">
        <v>70</v>
      </c>
      <c r="B75" s="13" t="s">
        <v>71</v>
      </c>
      <c r="C75" s="13" t="s">
        <v>72</v>
      </c>
      <c r="D75" s="13" t="s">
        <v>67</v>
      </c>
      <c r="E75" s="179">
        <f>'Du toan chi tiet'!E33</f>
        <v>52.316</v>
      </c>
      <c r="F75" s="179"/>
      <c r="G75" s="180"/>
    </row>
    <row r="76" spans="1:7" ht="15">
      <c r="A76" s="12" t="s">
        <v>0</v>
      </c>
      <c r="B76" s="13" t="s">
        <v>0</v>
      </c>
      <c r="C76" s="13" t="s">
        <v>69</v>
      </c>
      <c r="D76" s="13" t="s">
        <v>12</v>
      </c>
      <c r="E76" s="179"/>
      <c r="F76" s="179">
        <f>0.006</f>
        <v>0.006</v>
      </c>
      <c r="G76" s="180">
        <f>E75*F76</f>
        <v>0.313896</v>
      </c>
    </row>
    <row r="77" spans="1:7" ht="15">
      <c r="A77" s="12" t="s">
        <v>0</v>
      </c>
      <c r="B77" s="13" t="s">
        <v>0</v>
      </c>
      <c r="C77" s="13" t="s">
        <v>0</v>
      </c>
      <c r="D77" s="13" t="s">
        <v>0</v>
      </c>
      <c r="E77" s="179"/>
      <c r="F77" s="179"/>
      <c r="G77" s="180"/>
    </row>
    <row r="78" spans="1:7" ht="15">
      <c r="A78" s="12" t="s">
        <v>73</v>
      </c>
      <c r="B78" s="13" t="s">
        <v>74</v>
      </c>
      <c r="C78" s="13" t="s">
        <v>75</v>
      </c>
      <c r="D78" s="13" t="s">
        <v>76</v>
      </c>
      <c r="E78" s="179">
        <f>'Du toan chi tiet'!E35</f>
        <v>35.051</v>
      </c>
      <c r="F78" s="179"/>
      <c r="G78" s="180"/>
    </row>
    <row r="79" spans="1:7" ht="15">
      <c r="A79" s="12" t="s">
        <v>0</v>
      </c>
      <c r="B79" s="13" t="s">
        <v>0</v>
      </c>
      <c r="C79" s="13" t="s">
        <v>77</v>
      </c>
      <c r="D79" s="13" t="s">
        <v>0</v>
      </c>
      <c r="E79" s="179"/>
      <c r="F79" s="179"/>
      <c r="G79" s="180"/>
    </row>
    <row r="80" spans="1:7" ht="15">
      <c r="A80" s="12" t="s">
        <v>0</v>
      </c>
      <c r="B80" s="13" t="s">
        <v>0</v>
      </c>
      <c r="C80" s="13" t="s">
        <v>78</v>
      </c>
      <c r="D80" s="13" t="s">
        <v>12</v>
      </c>
      <c r="E80" s="179"/>
      <c r="F80" s="179">
        <f>0.03</f>
        <v>0.03</v>
      </c>
      <c r="G80" s="180">
        <f>E78*F80</f>
        <v>1.05153</v>
      </c>
    </row>
    <row r="81" spans="1:7" ht="15">
      <c r="A81" s="12" t="s">
        <v>0</v>
      </c>
      <c r="B81" s="13" t="s">
        <v>0</v>
      </c>
      <c r="C81" s="13" t="s">
        <v>0</v>
      </c>
      <c r="D81" s="13" t="s">
        <v>0</v>
      </c>
      <c r="E81" s="179"/>
      <c r="F81" s="179"/>
      <c r="G81" s="180"/>
    </row>
    <row r="82" spans="1:7" ht="15">
      <c r="A82" s="12" t="s">
        <v>0</v>
      </c>
      <c r="B82" s="13" t="s">
        <v>0</v>
      </c>
      <c r="C82" s="13" t="s">
        <v>0</v>
      </c>
      <c r="D82" s="13" t="s">
        <v>0</v>
      </c>
      <c r="E82" s="179"/>
      <c r="F82" s="179"/>
      <c r="G82" s="180"/>
    </row>
    <row r="83" spans="1:7" ht="15.75">
      <c r="A83" s="8" t="s">
        <v>0</v>
      </c>
      <c r="B83" s="9" t="s">
        <v>0</v>
      </c>
      <c r="C83" s="9" t="s">
        <v>79</v>
      </c>
      <c r="D83" s="9" t="s">
        <v>0</v>
      </c>
      <c r="E83" s="177"/>
      <c r="F83" s="177"/>
      <c r="G83" s="178"/>
    </row>
    <row r="84" spans="1:7" ht="15">
      <c r="A84" s="12" t="s">
        <v>0</v>
      </c>
      <c r="B84" s="13" t="s">
        <v>0</v>
      </c>
      <c r="C84" s="13" t="s">
        <v>0</v>
      </c>
      <c r="D84" s="13" t="s">
        <v>0</v>
      </c>
      <c r="E84" s="179"/>
      <c r="F84" s="179"/>
      <c r="G84" s="180"/>
    </row>
    <row r="85" spans="1:7" ht="15">
      <c r="A85" s="12" t="s">
        <v>80</v>
      </c>
      <c r="B85" s="13" t="s">
        <v>81</v>
      </c>
      <c r="C85" s="13" t="s">
        <v>82</v>
      </c>
      <c r="D85" s="13" t="s">
        <v>83</v>
      </c>
      <c r="E85" s="179">
        <f>'Du toan chi tiet'!E38</f>
        <v>1</v>
      </c>
      <c r="F85" s="179"/>
      <c r="G85" s="180"/>
    </row>
    <row r="86" spans="1:7" ht="15">
      <c r="A86" s="12" t="s">
        <v>0</v>
      </c>
      <c r="B86" s="13" t="s">
        <v>0</v>
      </c>
      <c r="C86" s="13" t="s">
        <v>84</v>
      </c>
      <c r="D86" s="13" t="s">
        <v>0</v>
      </c>
      <c r="E86" s="179"/>
      <c r="F86" s="179"/>
      <c r="G86" s="180"/>
    </row>
    <row r="87" spans="1:7" ht="15">
      <c r="A87" s="12" t="s">
        <v>0</v>
      </c>
      <c r="B87" s="13" t="s">
        <v>0</v>
      </c>
      <c r="C87" s="13" t="s">
        <v>9</v>
      </c>
      <c r="D87" s="13" t="s">
        <v>10</v>
      </c>
      <c r="E87" s="179"/>
      <c r="F87" s="179">
        <f>0.11</f>
        <v>0.11</v>
      </c>
      <c r="G87" s="180">
        <f>E85*F87</f>
        <v>0.11</v>
      </c>
    </row>
    <row r="88" spans="1:7" ht="15">
      <c r="A88" s="12" t="s">
        <v>0</v>
      </c>
      <c r="B88" s="13" t="s">
        <v>0</v>
      </c>
      <c r="C88" s="13" t="s">
        <v>0</v>
      </c>
      <c r="D88" s="13" t="s">
        <v>0</v>
      </c>
      <c r="E88" s="179"/>
      <c r="F88" s="179"/>
      <c r="G88" s="180"/>
    </row>
    <row r="89" spans="1:7" ht="15">
      <c r="A89" s="12" t="s">
        <v>85</v>
      </c>
      <c r="B89" s="13" t="s">
        <v>86</v>
      </c>
      <c r="C89" s="13" t="s">
        <v>82</v>
      </c>
      <c r="D89" s="13" t="s">
        <v>83</v>
      </c>
      <c r="E89" s="179">
        <f>'Du toan chi tiet'!E40</f>
        <v>1</v>
      </c>
      <c r="F89" s="179"/>
      <c r="G89" s="180"/>
    </row>
    <row r="90" spans="1:7" ht="15">
      <c r="A90" s="12" t="s">
        <v>0</v>
      </c>
      <c r="B90" s="13" t="s">
        <v>0</v>
      </c>
      <c r="C90" s="13" t="s">
        <v>87</v>
      </c>
      <c r="D90" s="13" t="s">
        <v>0</v>
      </c>
      <c r="E90" s="179"/>
      <c r="F90" s="179"/>
      <c r="G90" s="180"/>
    </row>
    <row r="91" spans="1:7" ht="15">
      <c r="A91" s="12" t="s">
        <v>0</v>
      </c>
      <c r="B91" s="13" t="s">
        <v>0</v>
      </c>
      <c r="C91" s="13" t="s">
        <v>9</v>
      </c>
      <c r="D91" s="13" t="s">
        <v>10</v>
      </c>
      <c r="E91" s="179"/>
      <c r="F91" s="179">
        <f>0.21</f>
        <v>0.21</v>
      </c>
      <c r="G91" s="180">
        <f>E89*F91</f>
        <v>0.21</v>
      </c>
    </row>
    <row r="92" spans="1:7" ht="15">
      <c r="A92" s="12" t="s">
        <v>0</v>
      </c>
      <c r="B92" s="13" t="s">
        <v>0</v>
      </c>
      <c r="C92" s="13" t="s">
        <v>0</v>
      </c>
      <c r="D92" s="13" t="s">
        <v>0</v>
      </c>
      <c r="E92" s="179"/>
      <c r="F92" s="179"/>
      <c r="G92" s="180"/>
    </row>
    <row r="93" spans="1:7" ht="15">
      <c r="A93" s="12" t="s">
        <v>0</v>
      </c>
      <c r="B93" s="13" t="s">
        <v>0</v>
      </c>
      <c r="C93" s="13" t="s">
        <v>0</v>
      </c>
      <c r="D93" s="13" t="s">
        <v>0</v>
      </c>
      <c r="E93" s="179"/>
      <c r="F93" s="179"/>
      <c r="G93" s="180"/>
    </row>
    <row r="94" spans="1:7" ht="15">
      <c r="A94" s="12" t="s">
        <v>0</v>
      </c>
      <c r="B94" s="13" t="s">
        <v>0</v>
      </c>
      <c r="C94" s="13" t="s">
        <v>0</v>
      </c>
      <c r="D94" s="13" t="s">
        <v>0</v>
      </c>
      <c r="E94" s="179"/>
      <c r="F94" s="179"/>
      <c r="G94" s="180"/>
    </row>
    <row r="95" spans="1:7" ht="15">
      <c r="A95" s="12" t="s">
        <v>88</v>
      </c>
      <c r="B95" s="13" t="s">
        <v>74</v>
      </c>
      <c r="C95" s="13" t="s">
        <v>75</v>
      </c>
      <c r="D95" s="13" t="s">
        <v>76</v>
      </c>
      <c r="E95" s="179">
        <f>'Du toan chi tiet'!E42</f>
        <v>1</v>
      </c>
      <c r="F95" s="179"/>
      <c r="G95" s="180"/>
    </row>
    <row r="96" spans="1:7" ht="15">
      <c r="A96" s="12" t="s">
        <v>0</v>
      </c>
      <c r="B96" s="13" t="s">
        <v>0</v>
      </c>
      <c r="C96" s="13" t="s">
        <v>77</v>
      </c>
      <c r="D96" s="13" t="s">
        <v>0</v>
      </c>
      <c r="E96" s="179"/>
      <c r="F96" s="179"/>
      <c r="G96" s="180"/>
    </row>
    <row r="97" spans="1:7" ht="15">
      <c r="A97" s="12" t="s">
        <v>0</v>
      </c>
      <c r="B97" s="13" t="s">
        <v>0</v>
      </c>
      <c r="C97" s="13" t="s">
        <v>78</v>
      </c>
      <c r="D97" s="13" t="s">
        <v>12</v>
      </c>
      <c r="E97" s="179"/>
      <c r="F97" s="179">
        <f>0.03</f>
        <v>0.03</v>
      </c>
      <c r="G97" s="180">
        <f>E95*F97</f>
        <v>0.03</v>
      </c>
    </row>
    <row r="98" spans="1:7" ht="15">
      <c r="A98" s="12" t="s">
        <v>0</v>
      </c>
      <c r="B98" s="13" t="s">
        <v>0</v>
      </c>
      <c r="C98" s="13" t="s">
        <v>0</v>
      </c>
      <c r="D98" s="13" t="s">
        <v>0</v>
      </c>
      <c r="E98" s="179"/>
      <c r="F98" s="179"/>
      <c r="G98" s="180"/>
    </row>
    <row r="99" spans="1:7" ht="15">
      <c r="A99" s="12" t="s">
        <v>89</v>
      </c>
      <c r="B99" s="13" t="s">
        <v>90</v>
      </c>
      <c r="C99" s="13" t="s">
        <v>75</v>
      </c>
      <c r="D99" s="13" t="s">
        <v>76</v>
      </c>
      <c r="E99" s="179">
        <f>'Du toan chi tiet'!E44</f>
        <v>1</v>
      </c>
      <c r="F99" s="179"/>
      <c r="G99" s="180"/>
    </row>
    <row r="100" spans="1:7" ht="15">
      <c r="A100" s="12" t="s">
        <v>0</v>
      </c>
      <c r="B100" s="13" t="s">
        <v>0</v>
      </c>
      <c r="C100" s="13" t="s">
        <v>91</v>
      </c>
      <c r="D100" s="13" t="s">
        <v>0</v>
      </c>
      <c r="E100" s="179"/>
      <c r="F100" s="179"/>
      <c r="G100" s="180"/>
    </row>
    <row r="101" spans="1:7" ht="15">
      <c r="A101" s="12" t="s">
        <v>0</v>
      </c>
      <c r="B101" s="13" t="s">
        <v>0</v>
      </c>
      <c r="C101" s="13" t="s">
        <v>78</v>
      </c>
      <c r="D101" s="13" t="s">
        <v>12</v>
      </c>
      <c r="E101" s="179"/>
      <c r="F101" s="179">
        <f>0.021</f>
        <v>0.021</v>
      </c>
      <c r="G101" s="180">
        <f>E99*F101</f>
        <v>0.021</v>
      </c>
    </row>
    <row r="102" spans="1:7" ht="15">
      <c r="A102" s="12" t="s">
        <v>0</v>
      </c>
      <c r="B102" s="13" t="s">
        <v>0</v>
      </c>
      <c r="C102" s="13" t="s">
        <v>0</v>
      </c>
      <c r="D102" s="13" t="s">
        <v>0</v>
      </c>
      <c r="E102" s="179"/>
      <c r="F102" s="179"/>
      <c r="G102" s="180"/>
    </row>
    <row r="103" spans="1:7" ht="15">
      <c r="A103" s="12" t="s">
        <v>92</v>
      </c>
      <c r="B103" s="13" t="s">
        <v>93</v>
      </c>
      <c r="C103" s="13" t="s">
        <v>75</v>
      </c>
      <c r="D103" s="13" t="s">
        <v>76</v>
      </c>
      <c r="E103" s="179">
        <f>'Du toan chi tiet'!E46</f>
        <v>1</v>
      </c>
      <c r="F103" s="179"/>
      <c r="G103" s="180"/>
    </row>
    <row r="104" spans="1:7" ht="15">
      <c r="A104" s="12" t="s">
        <v>0</v>
      </c>
      <c r="B104" s="13" t="s">
        <v>0</v>
      </c>
      <c r="C104" s="13" t="s">
        <v>78</v>
      </c>
      <c r="D104" s="13" t="s">
        <v>12</v>
      </c>
      <c r="E104" s="179"/>
      <c r="F104" s="179">
        <f>0.015</f>
        <v>0.015</v>
      </c>
      <c r="G104" s="180">
        <f>E103*F104</f>
        <v>0.015</v>
      </c>
    </row>
    <row r="105" spans="1:7" ht="15.75" thickBot="1">
      <c r="A105" s="16" t="s">
        <v>0</v>
      </c>
      <c r="B105" s="17" t="s">
        <v>0</v>
      </c>
      <c r="C105" s="17" t="s">
        <v>0</v>
      </c>
      <c r="D105" s="17" t="s">
        <v>0</v>
      </c>
      <c r="E105" s="181"/>
      <c r="F105" s="181"/>
      <c r="G105" s="182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zoomScalePageLayoutView="0" workbookViewId="0" topLeftCell="A1">
      <selection activeCell="J12" sqref="J12"/>
    </sheetView>
  </sheetViews>
  <sheetFormatPr defaultColWidth="8.796875" defaultRowHeight="15"/>
  <cols>
    <col min="1" max="1" width="4.59765625" style="23" customWidth="1"/>
    <col min="2" max="2" width="36.09765625" style="6" customWidth="1"/>
    <col min="3" max="3" width="6.59765625" style="23" customWidth="1"/>
    <col min="4" max="4" width="21.59765625" style="6" customWidth="1"/>
    <col min="5" max="5" width="15.59765625" style="7" hidden="1" customWidth="1"/>
    <col min="6" max="6" width="5.59765625" style="23" hidden="1" customWidth="1"/>
    <col min="7" max="7" width="18.8984375" style="7" customWidth="1"/>
    <col min="8" max="8" width="9" style="6" customWidth="1"/>
    <col min="9" max="10" width="11.3984375" style="6" bestFit="1" customWidth="1"/>
    <col min="11" max="11" width="11" style="6" bestFit="1" customWidth="1"/>
    <col min="12" max="12" width="9" style="6" customWidth="1"/>
    <col min="13" max="13" width="10.8984375" style="6" bestFit="1" customWidth="1"/>
    <col min="14" max="16384" width="9" style="6" customWidth="1"/>
  </cols>
  <sheetData>
    <row r="1" spans="1:7" ht="15.75">
      <c r="A1" s="234" t="s">
        <v>234</v>
      </c>
      <c r="B1" s="234"/>
      <c r="C1" s="234"/>
      <c r="D1" s="234"/>
      <c r="E1" s="234"/>
      <c r="F1" s="234"/>
      <c r="G1" s="234"/>
    </row>
    <row r="2" spans="1:7" ht="15.75">
      <c r="A2" s="234" t="s">
        <v>235</v>
      </c>
      <c r="B2" s="234"/>
      <c r="C2" s="234"/>
      <c r="D2" s="234"/>
      <c r="E2" s="234"/>
      <c r="F2" s="234"/>
      <c r="G2" s="234"/>
    </row>
    <row r="3" spans="1:7" ht="15.75">
      <c r="A3" s="235" t="s">
        <v>236</v>
      </c>
      <c r="B3" s="235"/>
      <c r="C3" s="235"/>
      <c r="D3" s="235"/>
      <c r="E3" s="235"/>
      <c r="F3" s="235"/>
      <c r="G3" s="235"/>
    </row>
    <row r="4" spans="1:7" ht="7.5" customHeight="1">
      <c r="A4" s="32"/>
      <c r="B4" s="2"/>
      <c r="C4" s="32"/>
      <c r="D4" s="2"/>
      <c r="E4" s="4"/>
      <c r="F4" s="32"/>
      <c r="G4" s="4"/>
    </row>
    <row r="5" spans="1:7" ht="16.5">
      <c r="A5" s="236" t="s">
        <v>374</v>
      </c>
      <c r="B5" s="236"/>
      <c r="C5" s="236"/>
      <c r="D5" s="236"/>
      <c r="E5" s="236"/>
      <c r="F5" s="236"/>
      <c r="G5" s="236"/>
    </row>
    <row r="6" spans="1:7" ht="7.5" customHeight="1">
      <c r="A6" s="32"/>
      <c r="B6" s="2"/>
      <c r="C6" s="32"/>
      <c r="D6" s="2"/>
      <c r="E6" s="4"/>
      <c r="F6" s="32"/>
      <c r="G6" s="4"/>
    </row>
    <row r="7" spans="1:7" s="38" customFormat="1" ht="16.5">
      <c r="A7" s="229" t="s">
        <v>237</v>
      </c>
      <c r="B7" s="229"/>
      <c r="C7" s="229"/>
      <c r="D7" s="229"/>
      <c r="E7" s="229"/>
      <c r="F7" s="229"/>
      <c r="G7" s="229"/>
    </row>
    <row r="8" spans="1:7" s="38" customFormat="1" ht="16.5">
      <c r="A8" s="229" t="s">
        <v>238</v>
      </c>
      <c r="B8" s="229"/>
      <c r="C8" s="229"/>
      <c r="D8" s="229"/>
      <c r="E8" s="229"/>
      <c r="F8" s="229"/>
      <c r="G8" s="229"/>
    </row>
    <row r="9" spans="1:7" s="38" customFormat="1" ht="16.5">
      <c r="A9" s="233" t="s">
        <v>380</v>
      </c>
      <c r="B9" s="233"/>
      <c r="C9" s="233"/>
      <c r="D9" s="233"/>
      <c r="E9" s="233"/>
      <c r="F9" s="233"/>
      <c r="G9" s="233"/>
    </row>
    <row r="10" spans="1:7" ht="17.25" thickBot="1">
      <c r="A10" s="32"/>
      <c r="B10" s="2"/>
      <c r="C10" s="32"/>
      <c r="D10" s="2"/>
      <c r="E10" s="4"/>
      <c r="F10" s="32"/>
      <c r="G10" s="227" t="s">
        <v>373</v>
      </c>
    </row>
    <row r="11" spans="1:11" ht="36" customHeight="1">
      <c r="A11" s="33" t="s">
        <v>120</v>
      </c>
      <c r="B11" s="34" t="s">
        <v>239</v>
      </c>
      <c r="C11" s="35" t="s">
        <v>240</v>
      </c>
      <c r="D11" s="34" t="s">
        <v>241</v>
      </c>
      <c r="E11" s="36" t="s">
        <v>242</v>
      </c>
      <c r="F11" s="35" t="s">
        <v>243</v>
      </c>
      <c r="G11" s="37" t="s">
        <v>244</v>
      </c>
      <c r="I11" s="250"/>
      <c r="J11" s="250"/>
      <c r="K11" s="250"/>
    </row>
    <row r="12" spans="1:11" ht="15.75">
      <c r="A12" s="24" t="s">
        <v>104</v>
      </c>
      <c r="B12" s="20" t="s">
        <v>103</v>
      </c>
      <c r="C12" s="28" t="s">
        <v>102</v>
      </c>
      <c r="D12" s="28" t="s">
        <v>378</v>
      </c>
      <c r="E12" s="21">
        <f>SUM(E13:E14)</f>
        <v>697263000</v>
      </c>
      <c r="F12" s="28"/>
      <c r="G12" s="22">
        <f>E12*(1+F12/100)</f>
        <v>697263000</v>
      </c>
      <c r="I12" s="251"/>
      <c r="J12" s="251"/>
      <c r="K12" s="251"/>
    </row>
    <row r="13" spans="1:13" ht="15">
      <c r="A13" s="25" t="s">
        <v>0</v>
      </c>
      <c r="B13" s="13" t="s">
        <v>101</v>
      </c>
      <c r="C13" s="29" t="s">
        <v>100</v>
      </c>
      <c r="D13" s="29" t="s">
        <v>99</v>
      </c>
      <c r="E13" s="14">
        <f>ROUND('CP Xay lap'!E20,-3)</f>
        <v>646392000</v>
      </c>
      <c r="F13" s="29"/>
      <c r="G13" s="15">
        <f>E13*(1+F13/100)</f>
        <v>646392000</v>
      </c>
      <c r="I13" s="251"/>
      <c r="J13" s="251"/>
      <c r="K13" s="251"/>
      <c r="M13" s="7"/>
    </row>
    <row r="14" spans="1:13" ht="15">
      <c r="A14" s="25" t="s">
        <v>0</v>
      </c>
      <c r="B14" s="13" t="s">
        <v>98</v>
      </c>
      <c r="C14" s="29" t="s">
        <v>97</v>
      </c>
      <c r="D14" s="29" t="s">
        <v>96</v>
      </c>
      <c r="E14" s="14">
        <f>ROUND('CP Xay lap'!E34,-3)</f>
        <v>50871000</v>
      </c>
      <c r="F14" s="29"/>
      <c r="G14" s="15">
        <f>E14*(1+F14/100)</f>
        <v>50871000</v>
      </c>
      <c r="I14" s="251"/>
      <c r="J14" s="251"/>
      <c r="K14" s="251"/>
      <c r="M14" s="7"/>
    </row>
    <row r="15" spans="1:13" ht="15.75">
      <c r="A15" s="26" t="s">
        <v>14</v>
      </c>
      <c r="B15" s="9" t="s">
        <v>95</v>
      </c>
      <c r="C15" s="30" t="s">
        <v>94</v>
      </c>
      <c r="D15" s="30" t="s">
        <v>340</v>
      </c>
      <c r="E15" s="10">
        <f>ROUND(E12*3.024/100/1.08,-3)</f>
        <v>19523000</v>
      </c>
      <c r="F15" s="30"/>
      <c r="G15" s="11">
        <f aca="true" t="shared" si="0" ref="G15:G26">E15</f>
        <v>19523000</v>
      </c>
      <c r="I15" s="251"/>
      <c r="J15" s="251"/>
      <c r="K15" s="251"/>
      <c r="M15" s="7"/>
    </row>
    <row r="16" spans="1:13" ht="15.75">
      <c r="A16" s="26" t="s">
        <v>21</v>
      </c>
      <c r="B16" s="9" t="s">
        <v>306</v>
      </c>
      <c r="C16" s="30" t="s">
        <v>307</v>
      </c>
      <c r="D16" s="30" t="s">
        <v>308</v>
      </c>
      <c r="E16" s="10">
        <f>SUM(E17:E21)</f>
        <v>73094000</v>
      </c>
      <c r="F16" s="30"/>
      <c r="G16" s="11">
        <f>SUM(G17:G21)</f>
        <v>73094000</v>
      </c>
      <c r="I16" s="251"/>
      <c r="J16" s="251"/>
      <c r="K16" s="251"/>
      <c r="M16" s="7"/>
    </row>
    <row r="17" spans="1:13" ht="15.75">
      <c r="A17" s="25" t="s">
        <v>0</v>
      </c>
      <c r="B17" s="13" t="s">
        <v>309</v>
      </c>
      <c r="C17" s="29" t="s">
        <v>310</v>
      </c>
      <c r="D17" s="29" t="s">
        <v>343</v>
      </c>
      <c r="E17" s="14">
        <v>8709000</v>
      </c>
      <c r="F17" s="29">
        <v>0</v>
      </c>
      <c r="G17" s="15">
        <f>E17</f>
        <v>8709000</v>
      </c>
      <c r="I17" s="252"/>
      <c r="J17" s="252"/>
      <c r="K17" s="252"/>
      <c r="M17" s="7"/>
    </row>
    <row r="18" spans="1:13" ht="15">
      <c r="A18" s="25" t="s">
        <v>0</v>
      </c>
      <c r="B18" s="13" t="s">
        <v>311</v>
      </c>
      <c r="C18" s="29" t="s">
        <v>312</v>
      </c>
      <c r="D18" s="29" t="s">
        <v>341</v>
      </c>
      <c r="E18" s="14">
        <f>ROUND(E12*5.4/100,-3)</f>
        <v>37652000</v>
      </c>
      <c r="F18" s="29"/>
      <c r="G18" s="15">
        <f>E18</f>
        <v>37652000</v>
      </c>
      <c r="M18" s="7"/>
    </row>
    <row r="19" spans="1:13" ht="15">
      <c r="A19" s="25" t="s">
        <v>0</v>
      </c>
      <c r="B19" s="13" t="s">
        <v>313</v>
      </c>
      <c r="C19" s="29" t="s">
        <v>314</v>
      </c>
      <c r="D19" s="29" t="s">
        <v>315</v>
      </c>
      <c r="E19" s="14">
        <f>2200000</f>
        <v>2200000</v>
      </c>
      <c r="F19" s="29"/>
      <c r="G19" s="15">
        <f t="shared" si="0"/>
        <v>2200000</v>
      </c>
      <c r="M19" s="7"/>
    </row>
    <row r="20" spans="1:13" ht="15">
      <c r="A20" s="25" t="s">
        <v>0</v>
      </c>
      <c r="B20" s="13" t="s">
        <v>316</v>
      </c>
      <c r="C20" s="29" t="s">
        <v>317</v>
      </c>
      <c r="D20" s="29" t="s">
        <v>315</v>
      </c>
      <c r="E20" s="14">
        <f>2200000</f>
        <v>2200000</v>
      </c>
      <c r="F20" s="29"/>
      <c r="G20" s="15">
        <f t="shared" si="0"/>
        <v>2200000</v>
      </c>
      <c r="M20" s="7"/>
    </row>
    <row r="21" spans="1:7" ht="15">
      <c r="A21" s="25" t="s">
        <v>0</v>
      </c>
      <c r="B21" s="13" t="s">
        <v>318</v>
      </c>
      <c r="C21" s="29" t="s">
        <v>319</v>
      </c>
      <c r="D21" s="29" t="s">
        <v>342</v>
      </c>
      <c r="E21" s="14">
        <f>ROUND(E12*3.203/100,-3)</f>
        <v>22333000</v>
      </c>
      <c r="F21" s="29"/>
      <c r="G21" s="15">
        <f t="shared" si="0"/>
        <v>22333000</v>
      </c>
    </row>
    <row r="22" spans="1:7" ht="15.75">
      <c r="A22" s="26" t="s">
        <v>29</v>
      </c>
      <c r="B22" s="9" t="s">
        <v>320</v>
      </c>
      <c r="C22" s="30" t="s">
        <v>321</v>
      </c>
      <c r="D22" s="30" t="s">
        <v>322</v>
      </c>
      <c r="E22" s="10">
        <f>SUM(E23:E26)</f>
        <v>6710000</v>
      </c>
      <c r="F22" s="30"/>
      <c r="G22" s="11">
        <f>SUM(G23:G26)</f>
        <v>6710000</v>
      </c>
    </row>
    <row r="23" spans="1:7" ht="15">
      <c r="A23" s="25" t="s">
        <v>0</v>
      </c>
      <c r="B23" s="13" t="s">
        <v>323</v>
      </c>
      <c r="C23" s="29" t="s">
        <v>324</v>
      </c>
      <c r="D23" s="29" t="s">
        <v>339</v>
      </c>
      <c r="E23" s="14">
        <v>500000</v>
      </c>
      <c r="F23" s="29"/>
      <c r="G23" s="15">
        <f t="shared" si="0"/>
        <v>500000</v>
      </c>
    </row>
    <row r="24" spans="1:7" ht="15">
      <c r="A24" s="25" t="s">
        <v>0</v>
      </c>
      <c r="B24" s="13" t="s">
        <v>325</v>
      </c>
      <c r="C24" s="29" t="s">
        <v>326</v>
      </c>
      <c r="D24" s="29" t="s">
        <v>327</v>
      </c>
      <c r="E24" s="14">
        <f>ROUND(E21*20/100,-3)</f>
        <v>4467000</v>
      </c>
      <c r="F24" s="29"/>
      <c r="G24" s="15">
        <f t="shared" si="0"/>
        <v>4467000</v>
      </c>
    </row>
    <row r="25" spans="1:9" ht="15">
      <c r="A25" s="25" t="s">
        <v>0</v>
      </c>
      <c r="B25" s="13" t="s">
        <v>328</v>
      </c>
      <c r="C25" s="29" t="s">
        <v>329</v>
      </c>
      <c r="D25" s="29" t="s">
        <v>330</v>
      </c>
      <c r="E25" s="14">
        <f>ROUND(E12*0.25/100,-3)</f>
        <v>1743000</v>
      </c>
      <c r="F25" s="29"/>
      <c r="G25" s="15">
        <f t="shared" si="0"/>
        <v>1743000</v>
      </c>
      <c r="I25" s="250"/>
    </row>
    <row r="26" spans="1:9" ht="15">
      <c r="A26" s="25" t="s">
        <v>0</v>
      </c>
      <c r="B26" s="13" t="s">
        <v>331</v>
      </c>
      <c r="C26" s="29" t="s">
        <v>332</v>
      </c>
      <c r="D26" s="29" t="s">
        <v>333</v>
      </c>
      <c r="E26" s="14">
        <f>ROUND(I27*0.57/100,-3)</f>
        <v>0</v>
      </c>
      <c r="F26" s="29"/>
      <c r="G26" s="15">
        <f t="shared" si="0"/>
        <v>0</v>
      </c>
      <c r="I26" s="250"/>
    </row>
    <row r="27" spans="1:9" ht="15.75">
      <c r="A27" s="26" t="s">
        <v>39</v>
      </c>
      <c r="B27" s="9" t="s">
        <v>334</v>
      </c>
      <c r="C27" s="30" t="s">
        <v>335</v>
      </c>
      <c r="D27" s="30" t="s">
        <v>336</v>
      </c>
      <c r="E27" s="10">
        <f>ROUND(I28-E12-E15-E16-E22,-3)</f>
        <v>-796590000</v>
      </c>
      <c r="F27" s="30"/>
      <c r="G27" s="11">
        <f>E27</f>
        <v>-796590000</v>
      </c>
      <c r="I27" s="251"/>
    </row>
    <row r="28" spans="1:9" ht="16.5" thickBot="1">
      <c r="A28" s="187" t="s">
        <v>44</v>
      </c>
      <c r="B28" s="188" t="s">
        <v>337</v>
      </c>
      <c r="C28" s="189" t="s">
        <v>113</v>
      </c>
      <c r="D28" s="189" t="s">
        <v>338</v>
      </c>
      <c r="E28" s="190">
        <f>E12+E15+E16+E22+E27</f>
        <v>0</v>
      </c>
      <c r="F28" s="189"/>
      <c r="G28" s="191">
        <f>G12+G15+G16+G22+G27</f>
        <v>0</v>
      </c>
      <c r="I28" s="252"/>
    </row>
  </sheetData>
  <sheetProtection/>
  <mergeCells count="7">
    <mergeCell ref="A9:G9"/>
    <mergeCell ref="A1:G1"/>
    <mergeCell ref="A2:G2"/>
    <mergeCell ref="A3:G3"/>
    <mergeCell ref="A5:G5"/>
    <mergeCell ref="A7:G7"/>
    <mergeCell ref="A8:G8"/>
  </mergeCells>
  <printOptions horizontalCentered="1"/>
  <pageMargins left="0.5" right="0.2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Zeros="0" zoomScalePageLayoutView="0" workbookViewId="0" topLeftCell="A1">
      <selection activeCell="D63" sqref="D63"/>
    </sheetView>
  </sheetViews>
  <sheetFormatPr defaultColWidth="8.796875" defaultRowHeight="15"/>
  <cols>
    <col min="1" max="1" width="4.59765625" style="23" customWidth="1"/>
    <col min="2" max="2" width="35.59765625" style="6" bestFit="1" customWidth="1"/>
    <col min="3" max="3" width="5.5" style="23" customWidth="1"/>
    <col min="4" max="4" width="25.19921875" style="6" customWidth="1"/>
    <col min="5" max="5" width="20.69921875" style="7" customWidth="1"/>
    <col min="6" max="16384" width="9" style="6" customWidth="1"/>
  </cols>
  <sheetData>
    <row r="1" spans="1:5" ht="21">
      <c r="A1" s="237" t="s">
        <v>245</v>
      </c>
      <c r="B1" s="237"/>
      <c r="C1" s="237"/>
      <c r="D1" s="237"/>
      <c r="E1" s="237"/>
    </row>
    <row r="2" spans="1:5" ht="15.75">
      <c r="A2" s="32"/>
      <c r="B2" s="2"/>
      <c r="C2" s="32"/>
      <c r="D2" s="2"/>
      <c r="E2" s="4"/>
    </row>
    <row r="3" spans="1:5" s="38" customFormat="1" ht="16.5">
      <c r="A3" s="229" t="s">
        <v>237</v>
      </c>
      <c r="B3" s="229"/>
      <c r="C3" s="229"/>
      <c r="D3" s="229"/>
      <c r="E3" s="229"/>
    </row>
    <row r="4" spans="1:5" s="38" customFormat="1" ht="16.5">
      <c r="A4" s="229" t="s">
        <v>238</v>
      </c>
      <c r="B4" s="229"/>
      <c r="C4" s="229"/>
      <c r="D4" s="229"/>
      <c r="E4" s="229"/>
    </row>
    <row r="5" spans="1:5" s="38" customFormat="1" ht="16.5">
      <c r="A5" s="229"/>
      <c r="B5" s="229"/>
      <c r="C5" s="229"/>
      <c r="D5" s="229"/>
      <c r="E5" s="229"/>
    </row>
    <row r="6" spans="1:5" ht="16.5" thickBot="1">
      <c r="A6" s="32"/>
      <c r="B6" s="2"/>
      <c r="C6" s="32"/>
      <c r="D6" s="2"/>
      <c r="E6" s="4"/>
    </row>
    <row r="7" spans="1:5" ht="36" customHeight="1">
      <c r="A7" s="33" t="s">
        <v>120</v>
      </c>
      <c r="B7" s="34" t="s">
        <v>239</v>
      </c>
      <c r="C7" s="35" t="s">
        <v>240</v>
      </c>
      <c r="D7" s="34" t="s">
        <v>241</v>
      </c>
      <c r="E7" s="39" t="s">
        <v>246</v>
      </c>
    </row>
    <row r="8" spans="1:5" ht="15.75">
      <c r="A8" s="24" t="s">
        <v>145</v>
      </c>
      <c r="B8" s="20" t="s">
        <v>1</v>
      </c>
      <c r="C8" s="28" t="s">
        <v>0</v>
      </c>
      <c r="D8" s="20" t="s">
        <v>0</v>
      </c>
      <c r="E8" s="22"/>
    </row>
    <row r="9" spans="1:5" ht="15">
      <c r="A9" s="25" t="s">
        <v>0</v>
      </c>
      <c r="B9" s="13" t="s">
        <v>142</v>
      </c>
      <c r="C9" s="29" t="s">
        <v>141</v>
      </c>
      <c r="D9" s="13" t="s">
        <v>140</v>
      </c>
      <c r="E9" s="15">
        <f>E10+E11+E12</f>
        <v>511443073.6079907</v>
      </c>
    </row>
    <row r="10" spans="1:5" ht="15">
      <c r="A10" s="25" t="s">
        <v>0</v>
      </c>
      <c r="B10" s="13" t="s">
        <v>139</v>
      </c>
      <c r="C10" s="29" t="s">
        <v>138</v>
      </c>
      <c r="D10" s="13" t="s">
        <v>137</v>
      </c>
      <c r="E10" s="15">
        <f>'Du toan chi tiet'!I9</f>
        <v>428733759.0224806</v>
      </c>
    </row>
    <row r="11" spans="1:5" ht="15">
      <c r="A11" s="25" t="s">
        <v>0</v>
      </c>
      <c r="B11" s="13" t="s">
        <v>136</v>
      </c>
      <c r="C11" s="29" t="s">
        <v>135</v>
      </c>
      <c r="D11" s="13" t="s">
        <v>134</v>
      </c>
      <c r="E11" s="15">
        <f>'Du toan chi tiet'!J9</f>
        <v>67630225.18275</v>
      </c>
    </row>
    <row r="12" spans="1:5" ht="15">
      <c r="A12" s="25" t="s">
        <v>0</v>
      </c>
      <c r="B12" s="13" t="s">
        <v>133</v>
      </c>
      <c r="C12" s="29" t="s">
        <v>132</v>
      </c>
      <c r="D12" s="13" t="s">
        <v>131</v>
      </c>
      <c r="E12" s="15">
        <f>'Du toan chi tiet'!K9</f>
        <v>15079089.402760081</v>
      </c>
    </row>
    <row r="13" spans="1:5" ht="15">
      <c r="A13" s="25" t="s">
        <v>0</v>
      </c>
      <c r="B13" s="13" t="s">
        <v>130</v>
      </c>
      <c r="C13" s="29" t="s">
        <v>129</v>
      </c>
      <c r="D13" s="13" t="s">
        <v>128</v>
      </c>
      <c r="E13" s="15">
        <f>E14+E15+E16</f>
        <v>53190079.65523103</v>
      </c>
    </row>
    <row r="14" spans="1:5" ht="15">
      <c r="A14" s="25" t="s">
        <v>0</v>
      </c>
      <c r="B14" s="13" t="s">
        <v>127</v>
      </c>
      <c r="C14" s="29" t="s">
        <v>126</v>
      </c>
      <c r="D14" s="13" t="s">
        <v>125</v>
      </c>
      <c r="E14" s="15">
        <f>E9*6.2/100</f>
        <v>31709470.56369542</v>
      </c>
    </row>
    <row r="15" spans="1:5" ht="15">
      <c r="A15" s="25" t="s">
        <v>0</v>
      </c>
      <c r="B15" s="13" t="s">
        <v>124</v>
      </c>
      <c r="C15" s="29" t="s">
        <v>123</v>
      </c>
      <c r="D15" s="13" t="s">
        <v>122</v>
      </c>
      <c r="E15" s="15">
        <f>E9*2.2/100</f>
        <v>11251747.619375797</v>
      </c>
    </row>
    <row r="16" spans="1:5" ht="15">
      <c r="A16" s="25" t="s">
        <v>0</v>
      </c>
      <c r="B16" s="13" t="s">
        <v>121</v>
      </c>
      <c r="C16" s="29" t="s">
        <v>120</v>
      </c>
      <c r="D16" s="13" t="s">
        <v>119</v>
      </c>
      <c r="E16" s="15">
        <f>E9*2/100</f>
        <v>10228861.472159814</v>
      </c>
    </row>
    <row r="17" spans="1:5" ht="15">
      <c r="A17" s="25" t="s">
        <v>0</v>
      </c>
      <c r="B17" s="13" t="s">
        <v>118</v>
      </c>
      <c r="C17" s="29" t="s">
        <v>117</v>
      </c>
      <c r="D17" s="13" t="s">
        <v>116</v>
      </c>
      <c r="E17" s="15">
        <f>(E9+E13)*6/100</f>
        <v>33877989.1957933</v>
      </c>
    </row>
    <row r="18" spans="1:5" ht="15.75">
      <c r="A18" s="26" t="s">
        <v>115</v>
      </c>
      <c r="B18" s="9" t="s">
        <v>114</v>
      </c>
      <c r="C18" s="30" t="s">
        <v>113</v>
      </c>
      <c r="D18" s="9" t="s">
        <v>112</v>
      </c>
      <c r="E18" s="11">
        <f>E9+E13+E17</f>
        <v>598511142.459015</v>
      </c>
    </row>
    <row r="19" spans="1:5" ht="15">
      <c r="A19" s="25" t="s">
        <v>0</v>
      </c>
      <c r="B19" s="13" t="s">
        <v>111</v>
      </c>
      <c r="C19" s="29" t="s">
        <v>110</v>
      </c>
      <c r="D19" s="13" t="s">
        <v>109</v>
      </c>
      <c r="E19" s="15">
        <f>E18*8/100</f>
        <v>47880891.3967212</v>
      </c>
    </row>
    <row r="20" spans="1:5" ht="15.75">
      <c r="A20" s="26" t="s">
        <v>108</v>
      </c>
      <c r="B20" s="9" t="s">
        <v>107</v>
      </c>
      <c r="C20" s="30" t="s">
        <v>106</v>
      </c>
      <c r="D20" s="9" t="s">
        <v>105</v>
      </c>
      <c r="E20" s="11">
        <f>E18+E19</f>
        <v>646392033.8557363</v>
      </c>
    </row>
    <row r="21" spans="1:5" ht="15">
      <c r="A21" s="25" t="s">
        <v>0</v>
      </c>
      <c r="B21" s="13" t="s">
        <v>0</v>
      </c>
      <c r="C21" s="29" t="s">
        <v>0</v>
      </c>
      <c r="D21" s="13" t="s">
        <v>0</v>
      </c>
      <c r="E21" s="15"/>
    </row>
    <row r="22" spans="1:5" ht="15.75">
      <c r="A22" s="26" t="s">
        <v>144</v>
      </c>
      <c r="B22" s="9" t="s">
        <v>38</v>
      </c>
      <c r="C22" s="30" t="s">
        <v>0</v>
      </c>
      <c r="D22" s="9" t="s">
        <v>0</v>
      </c>
      <c r="E22" s="11"/>
    </row>
    <row r="23" spans="1:5" ht="15">
      <c r="A23" s="25" t="s">
        <v>0</v>
      </c>
      <c r="B23" s="13" t="s">
        <v>142</v>
      </c>
      <c r="C23" s="29" t="s">
        <v>141</v>
      </c>
      <c r="D23" s="13" t="s">
        <v>140</v>
      </c>
      <c r="E23" s="15">
        <f>E24+E25+E26</f>
        <v>40250642.606576994</v>
      </c>
    </row>
    <row r="24" spans="1:5" ht="15">
      <c r="A24" s="25" t="s">
        <v>0</v>
      </c>
      <c r="B24" s="13" t="s">
        <v>139</v>
      </c>
      <c r="C24" s="29" t="s">
        <v>138</v>
      </c>
      <c r="D24" s="13" t="s">
        <v>137</v>
      </c>
      <c r="E24" s="15">
        <f>'Du toan chi tiet'!I18</f>
        <v>13327950.545</v>
      </c>
    </row>
    <row r="25" spans="1:5" ht="15">
      <c r="A25" s="25" t="s">
        <v>0</v>
      </c>
      <c r="B25" s="13" t="s">
        <v>136</v>
      </c>
      <c r="C25" s="29" t="s">
        <v>135</v>
      </c>
      <c r="D25" s="13" t="s">
        <v>134</v>
      </c>
      <c r="E25" s="15">
        <f>'Du toan chi tiet'!J18</f>
        <v>5615513.2130176</v>
      </c>
    </row>
    <row r="26" spans="1:5" ht="15">
      <c r="A26" s="25" t="s">
        <v>0</v>
      </c>
      <c r="B26" s="13" t="s">
        <v>133</v>
      </c>
      <c r="C26" s="29" t="s">
        <v>132</v>
      </c>
      <c r="D26" s="13" t="s">
        <v>131</v>
      </c>
      <c r="E26" s="15">
        <f>'Du toan chi tiet'!K18</f>
        <v>21307178.8485594</v>
      </c>
    </row>
    <row r="27" spans="1:5" ht="15">
      <c r="A27" s="25" t="s">
        <v>0</v>
      </c>
      <c r="B27" s="13" t="s">
        <v>130</v>
      </c>
      <c r="C27" s="29" t="s">
        <v>129</v>
      </c>
      <c r="D27" s="13" t="s">
        <v>128</v>
      </c>
      <c r="E27" s="15">
        <f>E28+E29+E30</f>
        <v>4186066.8310840074</v>
      </c>
    </row>
    <row r="28" spans="1:5" ht="15">
      <c r="A28" s="25" t="s">
        <v>0</v>
      </c>
      <c r="B28" s="13" t="s">
        <v>127</v>
      </c>
      <c r="C28" s="29" t="s">
        <v>126</v>
      </c>
      <c r="D28" s="13" t="s">
        <v>125</v>
      </c>
      <c r="E28" s="15">
        <f>E23*6.2/100</f>
        <v>2495539.8416077737</v>
      </c>
    </row>
    <row r="29" spans="1:5" ht="15">
      <c r="A29" s="25" t="s">
        <v>0</v>
      </c>
      <c r="B29" s="13" t="s">
        <v>124</v>
      </c>
      <c r="C29" s="29" t="s">
        <v>123</v>
      </c>
      <c r="D29" s="13" t="s">
        <v>122</v>
      </c>
      <c r="E29" s="15">
        <f>E23*2.2/100</f>
        <v>885514.137344694</v>
      </c>
    </row>
    <row r="30" spans="1:5" ht="15">
      <c r="A30" s="25" t="s">
        <v>0</v>
      </c>
      <c r="B30" s="13" t="s">
        <v>121</v>
      </c>
      <c r="C30" s="29" t="s">
        <v>120</v>
      </c>
      <c r="D30" s="13" t="s">
        <v>119</v>
      </c>
      <c r="E30" s="15">
        <f>E23*2/100</f>
        <v>805012.8521315398</v>
      </c>
    </row>
    <row r="31" spans="1:5" ht="15">
      <c r="A31" s="25" t="s">
        <v>0</v>
      </c>
      <c r="B31" s="13" t="s">
        <v>118</v>
      </c>
      <c r="C31" s="29" t="s">
        <v>117</v>
      </c>
      <c r="D31" s="13" t="s">
        <v>116</v>
      </c>
      <c r="E31" s="15">
        <f>(E23+E27)*6/100</f>
        <v>2666202.5662596603</v>
      </c>
    </row>
    <row r="32" spans="1:5" ht="15.75">
      <c r="A32" s="26" t="s">
        <v>115</v>
      </c>
      <c r="B32" s="9" t="s">
        <v>114</v>
      </c>
      <c r="C32" s="30" t="s">
        <v>113</v>
      </c>
      <c r="D32" s="9" t="s">
        <v>112</v>
      </c>
      <c r="E32" s="11">
        <f>E23+E27+E31</f>
        <v>47102912.00392066</v>
      </c>
    </row>
    <row r="33" spans="1:5" ht="15">
      <c r="A33" s="25" t="s">
        <v>0</v>
      </c>
      <c r="B33" s="13" t="s">
        <v>111</v>
      </c>
      <c r="C33" s="29" t="s">
        <v>110</v>
      </c>
      <c r="D33" s="13" t="s">
        <v>109</v>
      </c>
      <c r="E33" s="15">
        <f>E32*8/100</f>
        <v>3768232.9603136526</v>
      </c>
    </row>
    <row r="34" spans="1:5" ht="15.75">
      <c r="A34" s="26" t="s">
        <v>108</v>
      </c>
      <c r="B34" s="9" t="s">
        <v>107</v>
      </c>
      <c r="C34" s="30" t="s">
        <v>106</v>
      </c>
      <c r="D34" s="9" t="s">
        <v>105</v>
      </c>
      <c r="E34" s="11">
        <f>E32+E33</f>
        <v>50871144.964234315</v>
      </c>
    </row>
    <row r="35" spans="1:5" ht="15">
      <c r="A35" s="25" t="s">
        <v>0</v>
      </c>
      <c r="B35" s="13" t="s">
        <v>0</v>
      </c>
      <c r="C35" s="29" t="s">
        <v>0</v>
      </c>
      <c r="D35" s="13" t="s">
        <v>0</v>
      </c>
      <c r="E35" s="15"/>
    </row>
    <row r="36" spans="1:5" ht="15.75" hidden="1">
      <c r="A36" s="26" t="s">
        <v>143</v>
      </c>
      <c r="B36" s="9" t="s">
        <v>79</v>
      </c>
      <c r="C36" s="30" t="s">
        <v>0</v>
      </c>
      <c r="D36" s="9" t="s">
        <v>0</v>
      </c>
      <c r="E36" s="11"/>
    </row>
    <row r="37" spans="1:5" ht="15" hidden="1">
      <c r="A37" s="25" t="s">
        <v>0</v>
      </c>
      <c r="B37" s="13" t="s">
        <v>142</v>
      </c>
      <c r="C37" s="29" t="s">
        <v>141</v>
      </c>
      <c r="D37" s="13" t="s">
        <v>140</v>
      </c>
      <c r="E37" s="15">
        <f>E38+E39+E40</f>
        <v>186718.5124</v>
      </c>
    </row>
    <row r="38" spans="1:5" ht="15" hidden="1">
      <c r="A38" s="25" t="s">
        <v>0</v>
      </c>
      <c r="B38" s="13" t="s">
        <v>139</v>
      </c>
      <c r="C38" s="29" t="s">
        <v>138</v>
      </c>
      <c r="D38" s="13" t="s">
        <v>137</v>
      </c>
      <c r="E38" s="15">
        <f>'Du toan chi tiet'!I37</f>
        <v>0</v>
      </c>
    </row>
    <row r="39" spans="1:5" ht="15" hidden="1">
      <c r="A39" s="25" t="s">
        <v>0</v>
      </c>
      <c r="B39" s="13" t="s">
        <v>136</v>
      </c>
      <c r="C39" s="29" t="s">
        <v>135</v>
      </c>
      <c r="D39" s="13" t="s">
        <v>134</v>
      </c>
      <c r="E39" s="15">
        <f>'Du toan chi tiet'!J37</f>
        <v>69938.944</v>
      </c>
    </row>
    <row r="40" spans="1:5" ht="15" hidden="1">
      <c r="A40" s="25" t="s">
        <v>0</v>
      </c>
      <c r="B40" s="13" t="s">
        <v>133</v>
      </c>
      <c r="C40" s="29" t="s">
        <v>132</v>
      </c>
      <c r="D40" s="13" t="s">
        <v>131</v>
      </c>
      <c r="E40" s="15">
        <f>'Du toan chi tiet'!K37</f>
        <v>116779.5684</v>
      </c>
    </row>
    <row r="41" spans="1:5" ht="15" hidden="1">
      <c r="A41" s="25" t="s">
        <v>0</v>
      </c>
      <c r="B41" s="13" t="s">
        <v>130</v>
      </c>
      <c r="C41" s="29" t="s">
        <v>129</v>
      </c>
      <c r="D41" s="13" t="s">
        <v>128</v>
      </c>
      <c r="E41" s="15">
        <f>E42+E43+E44</f>
        <v>19418.725289600003</v>
      </c>
    </row>
    <row r="42" spans="1:5" ht="15" hidden="1">
      <c r="A42" s="25" t="s">
        <v>0</v>
      </c>
      <c r="B42" s="13" t="s">
        <v>127</v>
      </c>
      <c r="C42" s="29" t="s">
        <v>126</v>
      </c>
      <c r="D42" s="13" t="s">
        <v>125</v>
      </c>
      <c r="E42" s="15">
        <f>E37*6.2/100</f>
        <v>11576.547768800001</v>
      </c>
    </row>
    <row r="43" spans="1:5" ht="15" hidden="1">
      <c r="A43" s="25" t="s">
        <v>0</v>
      </c>
      <c r="B43" s="13" t="s">
        <v>124</v>
      </c>
      <c r="C43" s="29" t="s">
        <v>123</v>
      </c>
      <c r="D43" s="13" t="s">
        <v>122</v>
      </c>
      <c r="E43" s="15">
        <f>E37*2.2/100</f>
        <v>4107.807272800001</v>
      </c>
    </row>
    <row r="44" spans="1:5" ht="15" hidden="1">
      <c r="A44" s="25" t="s">
        <v>0</v>
      </c>
      <c r="B44" s="13" t="s">
        <v>121</v>
      </c>
      <c r="C44" s="29" t="s">
        <v>120</v>
      </c>
      <c r="D44" s="13" t="s">
        <v>119</v>
      </c>
      <c r="E44" s="15">
        <f>E37*2/100</f>
        <v>3734.370248</v>
      </c>
    </row>
    <row r="45" spans="1:5" ht="15" hidden="1">
      <c r="A45" s="25" t="s">
        <v>0</v>
      </c>
      <c r="B45" s="13" t="s">
        <v>118</v>
      </c>
      <c r="C45" s="29" t="s">
        <v>117</v>
      </c>
      <c r="D45" s="13" t="s">
        <v>116</v>
      </c>
      <c r="E45" s="15">
        <f>(E37+E41)*6/100</f>
        <v>12368.234261376001</v>
      </c>
    </row>
    <row r="46" spans="1:5" ht="15.75" hidden="1">
      <c r="A46" s="26" t="s">
        <v>115</v>
      </c>
      <c r="B46" s="9" t="s">
        <v>114</v>
      </c>
      <c r="C46" s="30" t="s">
        <v>113</v>
      </c>
      <c r="D46" s="9" t="s">
        <v>112</v>
      </c>
      <c r="E46" s="11">
        <f>E37+E41+E45</f>
        <v>218505.471950976</v>
      </c>
    </row>
    <row r="47" spans="1:5" ht="15" hidden="1">
      <c r="A47" s="25" t="s">
        <v>0</v>
      </c>
      <c r="B47" s="13" t="s">
        <v>111</v>
      </c>
      <c r="C47" s="29" t="s">
        <v>110</v>
      </c>
      <c r="D47" s="13" t="s">
        <v>109</v>
      </c>
      <c r="E47" s="15">
        <f>E46*8/100</f>
        <v>17480.43775607808</v>
      </c>
    </row>
    <row r="48" spans="1:5" ht="15.75" hidden="1">
      <c r="A48" s="26" t="s">
        <v>108</v>
      </c>
      <c r="B48" s="9" t="s">
        <v>107</v>
      </c>
      <c r="C48" s="30" t="s">
        <v>106</v>
      </c>
      <c r="D48" s="9" t="s">
        <v>105</v>
      </c>
      <c r="E48" s="11">
        <f>E46+E47</f>
        <v>235985.9097070541</v>
      </c>
    </row>
    <row r="49" spans="1:5" ht="15.75" thickBot="1">
      <c r="A49" s="27" t="s">
        <v>0</v>
      </c>
      <c r="B49" s="17" t="s">
        <v>0</v>
      </c>
      <c r="C49" s="31" t="s">
        <v>0</v>
      </c>
      <c r="D49" s="17" t="s">
        <v>0</v>
      </c>
      <c r="E49" s="18"/>
    </row>
    <row r="51" spans="4:5" ht="15">
      <c r="D51" s="238"/>
      <c r="E51" s="238"/>
    </row>
    <row r="52" spans="4:5" ht="15.75">
      <c r="D52" s="234"/>
      <c r="E52" s="234"/>
    </row>
    <row r="53" spans="4:5" ht="15.75">
      <c r="D53" s="234"/>
      <c r="E53" s="234"/>
    </row>
  </sheetData>
  <sheetProtection/>
  <mergeCells count="7">
    <mergeCell ref="D53:E53"/>
    <mergeCell ref="A1:E1"/>
    <mergeCell ref="A3:E3"/>
    <mergeCell ref="A4:E4"/>
    <mergeCell ref="A5:E5"/>
    <mergeCell ref="D51:E51"/>
    <mergeCell ref="D52:E52"/>
  </mergeCells>
  <printOptions horizontalCentered="1"/>
  <pageMargins left="0.4" right="0.2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Zeros="0" zoomScalePageLayoutView="0" workbookViewId="0" topLeftCell="A7">
      <selection activeCell="G16" sqref="G16"/>
    </sheetView>
  </sheetViews>
  <sheetFormatPr defaultColWidth="8.796875" defaultRowHeight="15"/>
  <cols>
    <col min="1" max="1" width="3.3984375" style="40" customWidth="1"/>
    <col min="2" max="2" width="8.8984375" style="40" customWidth="1"/>
    <col min="3" max="3" width="32.09765625" style="40" bestFit="1" customWidth="1"/>
    <col min="4" max="4" width="4.8984375" style="40" customWidth="1"/>
    <col min="5" max="5" width="9.69921875" style="68" customWidth="1"/>
    <col min="6" max="6" width="11.19921875" style="41" customWidth="1"/>
    <col min="7" max="7" width="10" style="41" customWidth="1"/>
    <col min="8" max="8" width="10.09765625" style="41" customWidth="1"/>
    <col min="9" max="9" width="12.59765625" style="42" customWidth="1"/>
    <col min="10" max="10" width="11.69921875" style="42" customWidth="1"/>
    <col min="11" max="11" width="12" style="42" customWidth="1"/>
    <col min="12" max="16384" width="9" style="40" customWidth="1"/>
  </cols>
  <sheetData>
    <row r="1" spans="1:11" ht="21" customHeight="1">
      <c r="A1" s="237" t="s">
        <v>247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4.25">
      <c r="A2" s="43"/>
      <c r="B2" s="43"/>
      <c r="C2" s="43"/>
      <c r="D2" s="43"/>
      <c r="E2" s="73"/>
      <c r="F2" s="44"/>
      <c r="G2" s="44"/>
      <c r="H2" s="44"/>
      <c r="I2" s="45"/>
      <c r="J2" s="45"/>
      <c r="K2" s="45"/>
    </row>
    <row r="3" spans="1:11" s="38" customFormat="1" ht="16.5" customHeight="1">
      <c r="A3" s="229" t="s">
        <v>237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s="38" customFormat="1" ht="16.5" customHeight="1">
      <c r="A4" s="229" t="s">
        <v>238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s="38" customFormat="1" ht="16.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5" thickBot="1">
      <c r="A6" s="43"/>
      <c r="B6" s="43"/>
      <c r="C6" s="43"/>
      <c r="D6" s="43"/>
      <c r="E6" s="73"/>
      <c r="F6" s="44"/>
      <c r="G6" s="44"/>
      <c r="H6" s="44"/>
      <c r="I6" s="45"/>
      <c r="J6" s="45"/>
      <c r="K6" s="45"/>
    </row>
    <row r="7" spans="1:11" ht="22.5" customHeight="1">
      <c r="A7" s="246" t="s">
        <v>120</v>
      </c>
      <c r="B7" s="248" t="s">
        <v>249</v>
      </c>
      <c r="C7" s="249" t="s">
        <v>250</v>
      </c>
      <c r="D7" s="248" t="s">
        <v>251</v>
      </c>
      <c r="E7" s="239" t="s">
        <v>252</v>
      </c>
      <c r="F7" s="241" t="s">
        <v>248</v>
      </c>
      <c r="G7" s="242"/>
      <c r="H7" s="243"/>
      <c r="I7" s="244" t="s">
        <v>246</v>
      </c>
      <c r="J7" s="242"/>
      <c r="K7" s="245"/>
    </row>
    <row r="8" spans="1:11" ht="22.5" customHeight="1">
      <c r="A8" s="247"/>
      <c r="B8" s="240"/>
      <c r="C8" s="240"/>
      <c r="D8" s="240"/>
      <c r="E8" s="240"/>
      <c r="F8" s="74" t="s">
        <v>253</v>
      </c>
      <c r="G8" s="74" t="s">
        <v>254</v>
      </c>
      <c r="H8" s="74" t="s">
        <v>255</v>
      </c>
      <c r="I8" s="75" t="s">
        <v>253</v>
      </c>
      <c r="J8" s="75" t="s">
        <v>254</v>
      </c>
      <c r="K8" s="76" t="s">
        <v>256</v>
      </c>
    </row>
    <row r="9" spans="1:11" ht="14.25">
      <c r="A9" s="63" t="s">
        <v>2</v>
      </c>
      <c r="B9" s="64" t="s">
        <v>0</v>
      </c>
      <c r="C9" s="64" t="s">
        <v>1</v>
      </c>
      <c r="D9" s="64" t="s">
        <v>0</v>
      </c>
      <c r="E9" s="69"/>
      <c r="F9" s="65"/>
      <c r="G9" s="65"/>
      <c r="H9" s="65"/>
      <c r="I9" s="66">
        <f>SUM(I10:I17)</f>
        <v>428733759.0224806</v>
      </c>
      <c r="J9" s="66">
        <f>SUM(J10:J17)</f>
        <v>67630225.18275</v>
      </c>
      <c r="K9" s="67">
        <f>SUM(K10:K17)</f>
        <v>15079089.402760081</v>
      </c>
    </row>
    <row r="10" spans="1:11" ht="14.25">
      <c r="A10" s="48" t="s">
        <v>177</v>
      </c>
      <c r="B10" s="49" t="s">
        <v>3</v>
      </c>
      <c r="C10" s="49" t="s">
        <v>4</v>
      </c>
      <c r="D10" s="49" t="s">
        <v>5</v>
      </c>
      <c r="E10" s="70">
        <f>37.5</f>
        <v>37.5</v>
      </c>
      <c r="F10" s="50">
        <f>'Phan tich don gia'!G10</f>
        <v>371789.998</v>
      </c>
      <c r="G10" s="50">
        <f>'Phan tich don gia'!G12</f>
        <v>3256.53208</v>
      </c>
      <c r="H10" s="50">
        <f>'Phan tich don gia'!G14</f>
        <v>6676.06595</v>
      </c>
      <c r="I10" s="51">
        <f>E10*F10</f>
        <v>13942124.925</v>
      </c>
      <c r="J10" s="51">
        <f>E10*G10</f>
        <v>122119.953</v>
      </c>
      <c r="K10" s="52">
        <f>E10*H10</f>
        <v>250352.47312500002</v>
      </c>
    </row>
    <row r="11" spans="1:11" ht="14.25">
      <c r="A11" s="48" t="s">
        <v>0</v>
      </c>
      <c r="B11" s="49" t="s">
        <v>0</v>
      </c>
      <c r="C11" s="49" t="s">
        <v>176</v>
      </c>
      <c r="D11" s="49" t="s">
        <v>0</v>
      </c>
      <c r="E11" s="70"/>
      <c r="F11" s="50"/>
      <c r="G11" s="50"/>
      <c r="H11" s="50"/>
      <c r="I11" s="51"/>
      <c r="J11" s="51"/>
      <c r="K11" s="52"/>
    </row>
    <row r="12" spans="1:11" ht="14.25">
      <c r="A12" s="48" t="s">
        <v>175</v>
      </c>
      <c r="B12" s="49" t="s">
        <v>15</v>
      </c>
      <c r="C12" s="49" t="s">
        <v>16</v>
      </c>
      <c r="D12" s="49" t="s">
        <v>17</v>
      </c>
      <c r="E12" s="70">
        <f>1294.9</f>
        <v>1294.9</v>
      </c>
      <c r="F12" s="50">
        <f>'Phan tich don gia'!G20</f>
        <v>5511</v>
      </c>
      <c r="G12" s="50">
        <f>'Phan tich don gia'!G23</f>
        <v>378.3</v>
      </c>
      <c r="H12" s="50"/>
      <c r="I12" s="51">
        <f>E12*F12</f>
        <v>7136193.9</v>
      </c>
      <c r="J12" s="51">
        <f>E12*G12</f>
        <v>489860.67000000004</v>
      </c>
      <c r="K12" s="52">
        <f>E12*H12</f>
        <v>0</v>
      </c>
    </row>
    <row r="13" spans="1:11" ht="14.25">
      <c r="A13" s="48" t="s">
        <v>0</v>
      </c>
      <c r="B13" s="49" t="s">
        <v>0</v>
      </c>
      <c r="C13" s="49" t="s">
        <v>174</v>
      </c>
      <c r="D13" s="49" t="s">
        <v>0</v>
      </c>
      <c r="E13" s="70"/>
      <c r="F13" s="50"/>
      <c r="G13" s="50"/>
      <c r="H13" s="50"/>
      <c r="I13" s="51"/>
      <c r="J13" s="51"/>
      <c r="K13" s="52"/>
    </row>
    <row r="14" spans="1:11" ht="14.25">
      <c r="A14" s="48" t="s">
        <v>173</v>
      </c>
      <c r="B14" s="49" t="s">
        <v>22</v>
      </c>
      <c r="C14" s="49" t="s">
        <v>23</v>
      </c>
      <c r="D14" s="49" t="s">
        <v>17</v>
      </c>
      <c r="E14" s="70">
        <f>206.1</f>
        <v>206.1</v>
      </c>
      <c r="F14" s="50">
        <f>'Phan tich don gia'!G27</f>
        <v>7292.73056</v>
      </c>
      <c r="G14" s="50">
        <f>'Phan tich don gia'!G31</f>
        <v>31483.5155</v>
      </c>
      <c r="H14" s="50">
        <f>'Phan tich don gia'!G33</f>
        <v>1753.948</v>
      </c>
      <c r="I14" s="51">
        <f>E14*F14</f>
        <v>1503031.768416</v>
      </c>
      <c r="J14" s="51">
        <f>E14*G14</f>
        <v>6488752.54455</v>
      </c>
      <c r="K14" s="52">
        <f>E14*H14</f>
        <v>361488.6828</v>
      </c>
    </row>
    <row r="15" spans="1:11" ht="14.25">
      <c r="A15" s="48" t="s">
        <v>0</v>
      </c>
      <c r="B15" s="49" t="s">
        <v>0</v>
      </c>
      <c r="C15" s="49" t="s">
        <v>172</v>
      </c>
      <c r="D15" s="49" t="s">
        <v>0</v>
      </c>
      <c r="E15" s="70"/>
      <c r="F15" s="50"/>
      <c r="G15" s="50"/>
      <c r="H15" s="50"/>
      <c r="I15" s="51"/>
      <c r="J15" s="51"/>
      <c r="K15" s="52"/>
    </row>
    <row r="16" spans="1:11" ht="14.25">
      <c r="A16" s="48" t="s">
        <v>171</v>
      </c>
      <c r="B16" s="49" t="s">
        <v>30</v>
      </c>
      <c r="C16" s="49" t="s">
        <v>31</v>
      </c>
      <c r="D16" s="49" t="s">
        <v>5</v>
      </c>
      <c r="E16" s="70">
        <f>291.978</f>
        <v>291.978</v>
      </c>
      <c r="F16" s="50">
        <f>'Phan tich don gia'!G39</f>
        <v>1391037.70979</v>
      </c>
      <c r="G16" s="50">
        <f>'Phan tich don gia'!G44</f>
        <v>207308.4</v>
      </c>
      <c r="H16" s="50">
        <f>'Phan tich don gia'!G46</f>
        <v>49549.10386</v>
      </c>
      <c r="I16" s="51">
        <f>E16*F16</f>
        <v>406152408.42906463</v>
      </c>
      <c r="J16" s="51">
        <f>E16*G16</f>
        <v>60529492.0152</v>
      </c>
      <c r="K16" s="52">
        <f>E16*H16</f>
        <v>14467248.24683508</v>
      </c>
    </row>
    <row r="17" spans="1:11" ht="14.25">
      <c r="A17" s="48" t="s">
        <v>0</v>
      </c>
      <c r="B17" s="49" t="s">
        <v>0</v>
      </c>
      <c r="C17" s="49" t="s">
        <v>32</v>
      </c>
      <c r="D17" s="49" t="s">
        <v>0</v>
      </c>
      <c r="E17" s="70"/>
      <c r="F17" s="50"/>
      <c r="G17" s="50"/>
      <c r="H17" s="50"/>
      <c r="I17" s="51"/>
      <c r="J17" s="51"/>
      <c r="K17" s="52"/>
    </row>
    <row r="18" spans="1:11" ht="14.25">
      <c r="A18" s="53" t="s">
        <v>14</v>
      </c>
      <c r="B18" s="54" t="s">
        <v>0</v>
      </c>
      <c r="C18" s="54" t="s">
        <v>38</v>
      </c>
      <c r="D18" s="54" t="s">
        <v>0</v>
      </c>
      <c r="E18" s="71"/>
      <c r="F18" s="55"/>
      <c r="G18" s="55"/>
      <c r="H18" s="55"/>
      <c r="I18" s="56">
        <f>SUM(I19:I36)</f>
        <v>13327950.545</v>
      </c>
      <c r="J18" s="56">
        <f>SUM(J19:J36)</f>
        <v>5615513.2130176</v>
      </c>
      <c r="K18" s="57">
        <f>SUM(K19:K36)</f>
        <v>21307178.8485594</v>
      </c>
    </row>
    <row r="19" spans="1:11" ht="14.25">
      <c r="A19" s="48" t="s">
        <v>170</v>
      </c>
      <c r="B19" s="49" t="s">
        <v>40</v>
      </c>
      <c r="C19" s="49" t="s">
        <v>41</v>
      </c>
      <c r="D19" s="49" t="s">
        <v>5</v>
      </c>
      <c r="E19" s="70">
        <f>350.5</f>
        <v>350.5</v>
      </c>
      <c r="F19" s="50"/>
      <c r="G19" s="50">
        <f>'Phan tich don gia'!G53</f>
        <v>1114.65192</v>
      </c>
      <c r="H19" s="50">
        <f>'Phan tich don gia'!G55</f>
        <v>8188.48473</v>
      </c>
      <c r="I19" s="51">
        <f>E19*F19</f>
        <v>0</v>
      </c>
      <c r="J19" s="51">
        <f>E19*G19</f>
        <v>390685.49796</v>
      </c>
      <c r="K19" s="52">
        <f>E19*H19</f>
        <v>2870063.897865</v>
      </c>
    </row>
    <row r="20" spans="1:11" ht="14.25">
      <c r="A20" s="48" t="s">
        <v>0</v>
      </c>
      <c r="B20" s="49" t="s">
        <v>0</v>
      </c>
      <c r="C20" s="49" t="s">
        <v>169</v>
      </c>
      <c r="D20" s="49" t="s">
        <v>0</v>
      </c>
      <c r="E20" s="70"/>
      <c r="F20" s="50"/>
      <c r="G20" s="50"/>
      <c r="H20" s="50"/>
      <c r="I20" s="51"/>
      <c r="J20" s="51"/>
      <c r="K20" s="52"/>
    </row>
    <row r="21" spans="1:11" ht="14.25">
      <c r="A21" s="48" t="s">
        <v>168</v>
      </c>
      <c r="B21" s="49" t="s">
        <v>45</v>
      </c>
      <c r="C21" s="49" t="s">
        <v>46</v>
      </c>
      <c r="D21" s="49" t="s">
        <v>5</v>
      </c>
      <c r="E21" s="70">
        <f>415</f>
        <v>415</v>
      </c>
      <c r="F21" s="50"/>
      <c r="G21" s="50">
        <f>'Phan tich don gia'!G61</f>
        <v>8873.50352</v>
      </c>
      <c r="H21" s="50">
        <f>'Phan tich don gia'!G63</f>
        <v>11656.69408</v>
      </c>
      <c r="I21" s="51">
        <f>E21*F21</f>
        <v>0</v>
      </c>
      <c r="J21" s="51">
        <f>E21*G21</f>
        <v>3682503.9608</v>
      </c>
      <c r="K21" s="52">
        <f>E21*H21</f>
        <v>4837528.043199999</v>
      </c>
    </row>
    <row r="22" spans="1:11" ht="14.25">
      <c r="A22" s="48" t="s">
        <v>0</v>
      </c>
      <c r="B22" s="49" t="s">
        <v>0</v>
      </c>
      <c r="C22" s="49" t="s">
        <v>167</v>
      </c>
      <c r="D22" s="49" t="s">
        <v>0</v>
      </c>
      <c r="E22" s="70"/>
      <c r="F22" s="50"/>
      <c r="G22" s="50"/>
      <c r="H22" s="50"/>
      <c r="I22" s="51"/>
      <c r="J22" s="51"/>
      <c r="K22" s="52"/>
    </row>
    <row r="23" spans="1:11" ht="14.25">
      <c r="A23" s="48" t="s">
        <v>166</v>
      </c>
      <c r="B23" s="49" t="s">
        <v>49</v>
      </c>
      <c r="C23" s="49" t="s">
        <v>50</v>
      </c>
      <c r="D23" s="49" t="s">
        <v>5</v>
      </c>
      <c r="E23" s="70">
        <f>52.316</f>
        <v>52.316</v>
      </c>
      <c r="F23" s="50"/>
      <c r="G23" s="50">
        <f>'Phan tich don gia'!G69</f>
        <v>2841.2696</v>
      </c>
      <c r="H23" s="50">
        <f>'Phan tich don gia'!G71</f>
        <v>83164.9038</v>
      </c>
      <c r="I23" s="51">
        <f>E23*F23</f>
        <v>0</v>
      </c>
      <c r="J23" s="51">
        <f>E23*G23</f>
        <v>148643.8603936</v>
      </c>
      <c r="K23" s="52">
        <f>E23*H23</f>
        <v>4350855.1072008</v>
      </c>
    </row>
    <row r="24" spans="1:11" ht="14.25">
      <c r="A24" s="48" t="s">
        <v>0</v>
      </c>
      <c r="B24" s="49" t="s">
        <v>0</v>
      </c>
      <c r="C24" s="49" t="s">
        <v>165</v>
      </c>
      <c r="D24" s="49" t="s">
        <v>0</v>
      </c>
      <c r="E24" s="70"/>
      <c r="F24" s="50"/>
      <c r="G24" s="50"/>
      <c r="H24" s="50"/>
      <c r="I24" s="51"/>
      <c r="J24" s="51"/>
      <c r="K24" s="52"/>
    </row>
    <row r="25" spans="1:11" ht="14.25">
      <c r="A25" s="48" t="s">
        <v>164</v>
      </c>
      <c r="B25" s="49" t="s">
        <v>54</v>
      </c>
      <c r="C25" s="49" t="s">
        <v>55</v>
      </c>
      <c r="D25" s="49" t="s">
        <v>5</v>
      </c>
      <c r="E25" s="70">
        <f>98.423</f>
        <v>98.423</v>
      </c>
      <c r="F25" s="50">
        <f>'Phan tich don gia'!G75</f>
        <v>135415</v>
      </c>
      <c r="G25" s="50"/>
      <c r="H25" s="50"/>
      <c r="I25" s="51">
        <f>E25*F25</f>
        <v>13327950.545</v>
      </c>
      <c r="J25" s="51">
        <f>E25*G25</f>
        <v>0</v>
      </c>
      <c r="K25" s="52">
        <f>E25*H25</f>
        <v>0</v>
      </c>
    </row>
    <row r="26" spans="1:11" ht="14.25">
      <c r="A26" s="48" t="s">
        <v>0</v>
      </c>
      <c r="B26" s="49" t="s">
        <v>0</v>
      </c>
      <c r="C26" s="49" t="s">
        <v>163</v>
      </c>
      <c r="D26" s="49" t="s">
        <v>0</v>
      </c>
      <c r="E26" s="70"/>
      <c r="F26" s="50"/>
      <c r="G26" s="50"/>
      <c r="H26" s="50"/>
      <c r="I26" s="51"/>
      <c r="J26" s="51"/>
      <c r="K26" s="52"/>
    </row>
    <row r="27" spans="1:11" ht="14.25">
      <c r="A27" s="48" t="s">
        <v>162</v>
      </c>
      <c r="B27" s="49" t="s">
        <v>58</v>
      </c>
      <c r="C27" s="49" t="s">
        <v>59</v>
      </c>
      <c r="D27" s="49" t="s">
        <v>5</v>
      </c>
      <c r="E27" s="70">
        <f>130.3</f>
        <v>130.3</v>
      </c>
      <c r="F27" s="50"/>
      <c r="G27" s="50">
        <f>'Phan tich don gia'!G80</f>
        <v>2775.70184</v>
      </c>
      <c r="H27" s="50">
        <f>'Phan tich don gia'!G82</f>
        <v>7524.48574</v>
      </c>
      <c r="I27" s="51">
        <f>E27*F27</f>
        <v>0</v>
      </c>
      <c r="J27" s="51">
        <f>E27*G27</f>
        <v>361673.94975200004</v>
      </c>
      <c r="K27" s="52">
        <f>E27*H27</f>
        <v>980440.4919220001</v>
      </c>
    </row>
    <row r="28" spans="1:11" ht="14.25">
      <c r="A28" s="48" t="s">
        <v>0</v>
      </c>
      <c r="B28" s="49" t="s">
        <v>0</v>
      </c>
      <c r="C28" s="49" t="s">
        <v>161</v>
      </c>
      <c r="D28" s="49" t="s">
        <v>0</v>
      </c>
      <c r="E28" s="70"/>
      <c r="F28" s="50"/>
      <c r="G28" s="50"/>
      <c r="H28" s="50"/>
      <c r="I28" s="51"/>
      <c r="J28" s="51"/>
      <c r="K28" s="52"/>
    </row>
    <row r="29" spans="1:11" ht="14.25">
      <c r="A29" s="48" t="s">
        <v>160</v>
      </c>
      <c r="B29" s="49" t="s">
        <v>62</v>
      </c>
      <c r="C29" s="49" t="s">
        <v>63</v>
      </c>
      <c r="D29" s="49" t="s">
        <v>5</v>
      </c>
      <c r="E29" s="70">
        <f>371.8</f>
        <v>371.8</v>
      </c>
      <c r="F29" s="50"/>
      <c r="G29" s="50">
        <f>'Phan tich don gia'!G89</f>
        <v>2775.70184</v>
      </c>
      <c r="H29" s="50">
        <f>'Phan tich don gia'!G91</f>
        <v>7524.48574</v>
      </c>
      <c r="I29" s="51">
        <f>E29*F29</f>
        <v>0</v>
      </c>
      <c r="J29" s="51">
        <f>E29*G29</f>
        <v>1032005.944112</v>
      </c>
      <c r="K29" s="52">
        <f>E29*H29</f>
        <v>2797603.798132</v>
      </c>
    </row>
    <row r="30" spans="1:11" ht="14.25">
      <c r="A30" s="48" t="s">
        <v>0</v>
      </c>
      <c r="B30" s="49" t="s">
        <v>0</v>
      </c>
      <c r="C30" s="49" t="s">
        <v>159</v>
      </c>
      <c r="D30" s="49" t="s">
        <v>0</v>
      </c>
      <c r="E30" s="70"/>
      <c r="F30" s="50"/>
      <c r="G30" s="50"/>
      <c r="H30" s="50"/>
      <c r="I30" s="51"/>
      <c r="J30" s="51"/>
      <c r="K30" s="52"/>
    </row>
    <row r="31" spans="1:11" ht="14.25">
      <c r="A31" s="48" t="s">
        <v>158</v>
      </c>
      <c r="B31" s="49" t="s">
        <v>65</v>
      </c>
      <c r="C31" s="49" t="s">
        <v>66</v>
      </c>
      <c r="D31" s="49" t="s">
        <v>67</v>
      </c>
      <c r="E31" s="70">
        <f>52.316</f>
        <v>52.316</v>
      </c>
      <c r="F31" s="50"/>
      <c r="G31" s="50"/>
      <c r="H31" s="50">
        <f>'Phan tich don gia'!G98</f>
        <v>26540.811</v>
      </c>
      <c r="I31" s="51">
        <f>E31*F31</f>
        <v>0</v>
      </c>
      <c r="J31" s="51">
        <f>E31*G31</f>
        <v>0</v>
      </c>
      <c r="K31" s="52">
        <f>E31*H31</f>
        <v>1388509.0682760002</v>
      </c>
    </row>
    <row r="32" spans="1:11" ht="14.25">
      <c r="A32" s="48" t="s">
        <v>0</v>
      </c>
      <c r="B32" s="49" t="s">
        <v>0</v>
      </c>
      <c r="C32" s="49" t="s">
        <v>68</v>
      </c>
      <c r="D32" s="49" t="s">
        <v>0</v>
      </c>
      <c r="E32" s="70"/>
      <c r="F32" s="50"/>
      <c r="G32" s="50"/>
      <c r="H32" s="50"/>
      <c r="I32" s="51"/>
      <c r="J32" s="51"/>
      <c r="K32" s="52"/>
    </row>
    <row r="33" spans="1:11" ht="14.25">
      <c r="A33" s="48" t="s">
        <v>157</v>
      </c>
      <c r="B33" s="49" t="s">
        <v>71</v>
      </c>
      <c r="C33" s="49" t="s">
        <v>72</v>
      </c>
      <c r="D33" s="49" t="s">
        <v>67</v>
      </c>
      <c r="E33" s="70">
        <f>52.316</f>
        <v>52.316</v>
      </c>
      <c r="F33" s="50"/>
      <c r="G33" s="50"/>
      <c r="H33" s="50">
        <f>'Phan tich don gia'!G102</f>
        <v>42465.2976</v>
      </c>
      <c r="I33" s="51">
        <f>E33*F33</f>
        <v>0</v>
      </c>
      <c r="J33" s="51">
        <f>E33*G33</f>
        <v>0</v>
      </c>
      <c r="K33" s="52">
        <f>E33*H33</f>
        <v>2221614.5092416</v>
      </c>
    </row>
    <row r="34" spans="1:11" ht="14.25">
      <c r="A34" s="48" t="s">
        <v>0</v>
      </c>
      <c r="B34" s="49" t="s">
        <v>0</v>
      </c>
      <c r="C34" s="49" t="s">
        <v>156</v>
      </c>
      <c r="D34" s="49" t="s">
        <v>0</v>
      </c>
      <c r="E34" s="70"/>
      <c r="F34" s="50"/>
      <c r="G34" s="50"/>
      <c r="H34" s="50"/>
      <c r="I34" s="51"/>
      <c r="J34" s="51"/>
      <c r="K34" s="52"/>
    </row>
    <row r="35" spans="1:11" ht="14.25">
      <c r="A35" s="48" t="s">
        <v>150</v>
      </c>
      <c r="B35" s="49" t="s">
        <v>74</v>
      </c>
      <c r="C35" s="49" t="s">
        <v>75</v>
      </c>
      <c r="D35" s="49" t="s">
        <v>76</v>
      </c>
      <c r="E35" s="70">
        <f>35.051</f>
        <v>35.051</v>
      </c>
      <c r="F35" s="50"/>
      <c r="G35" s="50"/>
      <c r="H35" s="50">
        <f>'Phan tich don gia'!G107</f>
        <v>53081.622</v>
      </c>
      <c r="I35" s="51">
        <f>E35*F35</f>
        <v>0</v>
      </c>
      <c r="J35" s="51">
        <f>E35*G35</f>
        <v>0</v>
      </c>
      <c r="K35" s="52">
        <f>E35*H35</f>
        <v>1860563.9327220002</v>
      </c>
    </row>
    <row r="36" spans="1:11" ht="14.25">
      <c r="A36" s="48" t="s">
        <v>0</v>
      </c>
      <c r="B36" s="49" t="s">
        <v>0</v>
      </c>
      <c r="C36" s="49" t="s">
        <v>155</v>
      </c>
      <c r="D36" s="49" t="s">
        <v>0</v>
      </c>
      <c r="E36" s="70"/>
      <c r="F36" s="50"/>
      <c r="G36" s="50"/>
      <c r="H36" s="50"/>
      <c r="I36" s="51"/>
      <c r="J36" s="51"/>
      <c r="K36" s="52"/>
    </row>
    <row r="37" spans="1:11" ht="14.25" hidden="1">
      <c r="A37" s="53" t="s">
        <v>21</v>
      </c>
      <c r="B37" s="54" t="s">
        <v>0</v>
      </c>
      <c r="C37" s="54" t="s">
        <v>79</v>
      </c>
      <c r="D37" s="54" t="s">
        <v>0</v>
      </c>
      <c r="E37" s="71"/>
      <c r="F37" s="55"/>
      <c r="G37" s="55"/>
      <c r="H37" s="55"/>
      <c r="I37" s="56">
        <f>SUM(I38:I47)</f>
        <v>0</v>
      </c>
      <c r="J37" s="56">
        <f>SUM(J38:J47)</f>
        <v>69938.944</v>
      </c>
      <c r="K37" s="57">
        <f>SUM(K38:K47)</f>
        <v>116779.5684</v>
      </c>
    </row>
    <row r="38" spans="1:11" ht="14.25" hidden="1">
      <c r="A38" s="48" t="s">
        <v>154</v>
      </c>
      <c r="B38" s="49" t="s">
        <v>81</v>
      </c>
      <c r="C38" s="49" t="s">
        <v>82</v>
      </c>
      <c r="D38" s="49" t="s">
        <v>83</v>
      </c>
      <c r="E38" s="70">
        <f>1</f>
        <v>1</v>
      </c>
      <c r="F38" s="50"/>
      <c r="G38" s="50">
        <f>'Phan tich don gia'!G112</f>
        <v>24041.512</v>
      </c>
      <c r="H38" s="50"/>
      <c r="I38" s="51">
        <f>E38*F38</f>
        <v>0</v>
      </c>
      <c r="J38" s="51">
        <f>E38*G38</f>
        <v>24041.512</v>
      </c>
      <c r="K38" s="52">
        <f>E38*H38</f>
        <v>0</v>
      </c>
    </row>
    <row r="39" spans="1:11" ht="14.25" hidden="1">
      <c r="A39" s="48" t="s">
        <v>0</v>
      </c>
      <c r="B39" s="49" t="s">
        <v>0</v>
      </c>
      <c r="C39" s="49" t="s">
        <v>153</v>
      </c>
      <c r="D39" s="49" t="s">
        <v>0</v>
      </c>
      <c r="E39" s="70"/>
      <c r="F39" s="50"/>
      <c r="G39" s="50"/>
      <c r="H39" s="50"/>
      <c r="I39" s="51"/>
      <c r="J39" s="51"/>
      <c r="K39" s="52"/>
    </row>
    <row r="40" spans="1:11" ht="14.25" hidden="1">
      <c r="A40" s="48" t="s">
        <v>152</v>
      </c>
      <c r="B40" s="49" t="s">
        <v>86</v>
      </c>
      <c r="C40" s="49" t="s">
        <v>82</v>
      </c>
      <c r="D40" s="49" t="s">
        <v>83</v>
      </c>
      <c r="E40" s="70">
        <f>1</f>
        <v>1</v>
      </c>
      <c r="F40" s="50"/>
      <c r="G40" s="50">
        <f>'Phan tich don gia'!G117</f>
        <v>45897.432</v>
      </c>
      <c r="H40" s="50"/>
      <c r="I40" s="51">
        <f>E40*F40</f>
        <v>0</v>
      </c>
      <c r="J40" s="51">
        <f>E40*G40</f>
        <v>45897.432</v>
      </c>
      <c r="K40" s="52">
        <f>E40*H40</f>
        <v>0</v>
      </c>
    </row>
    <row r="41" spans="1:11" ht="14.25" hidden="1">
      <c r="A41" s="48" t="s">
        <v>0</v>
      </c>
      <c r="B41" s="49" t="s">
        <v>0</v>
      </c>
      <c r="C41" s="49" t="s">
        <v>151</v>
      </c>
      <c r="D41" s="49" t="s">
        <v>0</v>
      </c>
      <c r="E41" s="70"/>
      <c r="F41" s="50"/>
      <c r="G41" s="50"/>
      <c r="H41" s="50"/>
      <c r="I41" s="51"/>
      <c r="J41" s="51"/>
      <c r="K41" s="52"/>
    </row>
    <row r="42" spans="1:11" ht="14.25" hidden="1">
      <c r="A42" s="48" t="s">
        <v>150</v>
      </c>
      <c r="B42" s="49" t="s">
        <v>74</v>
      </c>
      <c r="C42" s="49" t="s">
        <v>75</v>
      </c>
      <c r="D42" s="49" t="s">
        <v>76</v>
      </c>
      <c r="E42" s="70">
        <f>1</f>
        <v>1</v>
      </c>
      <c r="F42" s="50"/>
      <c r="G42" s="50"/>
      <c r="H42" s="50">
        <f>'Phan tich don gia'!G107</f>
        <v>53081.622</v>
      </c>
      <c r="I42" s="51">
        <f>E42*F42</f>
        <v>0</v>
      </c>
      <c r="J42" s="51">
        <f>E42*G42</f>
        <v>0</v>
      </c>
      <c r="K42" s="52">
        <f>E42*H42</f>
        <v>53081.622</v>
      </c>
    </row>
    <row r="43" spans="1:11" ht="14.25" hidden="1">
      <c r="A43" s="48" t="s">
        <v>0</v>
      </c>
      <c r="B43" s="49" t="s">
        <v>0</v>
      </c>
      <c r="C43" s="49" t="s">
        <v>149</v>
      </c>
      <c r="D43" s="49" t="s">
        <v>0</v>
      </c>
      <c r="E43" s="70"/>
      <c r="F43" s="50"/>
      <c r="G43" s="50"/>
      <c r="H43" s="50"/>
      <c r="I43" s="51"/>
      <c r="J43" s="51"/>
      <c r="K43" s="52"/>
    </row>
    <row r="44" spans="1:11" ht="14.25" hidden="1">
      <c r="A44" s="48" t="s">
        <v>148</v>
      </c>
      <c r="B44" s="49" t="s">
        <v>90</v>
      </c>
      <c r="C44" s="49" t="s">
        <v>75</v>
      </c>
      <c r="D44" s="49" t="s">
        <v>76</v>
      </c>
      <c r="E44" s="70">
        <f>1</f>
        <v>1</v>
      </c>
      <c r="F44" s="50"/>
      <c r="G44" s="50"/>
      <c r="H44" s="50">
        <f>'Phan tich don gia'!G124</f>
        <v>37157.1354</v>
      </c>
      <c r="I44" s="51">
        <f>E44*F44</f>
        <v>0</v>
      </c>
      <c r="J44" s="51">
        <f>E44*G44</f>
        <v>0</v>
      </c>
      <c r="K44" s="52">
        <f>E44*H44</f>
        <v>37157.1354</v>
      </c>
    </row>
    <row r="45" spans="1:11" ht="14.25" hidden="1">
      <c r="A45" s="48" t="s">
        <v>0</v>
      </c>
      <c r="B45" s="49" t="s">
        <v>0</v>
      </c>
      <c r="C45" s="49" t="s">
        <v>147</v>
      </c>
      <c r="D45" s="49" t="s">
        <v>0</v>
      </c>
      <c r="E45" s="70"/>
      <c r="F45" s="50"/>
      <c r="G45" s="50"/>
      <c r="H45" s="50"/>
      <c r="I45" s="51"/>
      <c r="J45" s="51"/>
      <c r="K45" s="52"/>
    </row>
    <row r="46" spans="1:11" ht="14.25" hidden="1">
      <c r="A46" s="48" t="s">
        <v>146</v>
      </c>
      <c r="B46" s="49" t="s">
        <v>93</v>
      </c>
      <c r="C46" s="49" t="s">
        <v>75</v>
      </c>
      <c r="D46" s="49" t="s">
        <v>76</v>
      </c>
      <c r="E46" s="70">
        <f>1</f>
        <v>1</v>
      </c>
      <c r="F46" s="50"/>
      <c r="G46" s="50"/>
      <c r="H46" s="50">
        <f>'Phan tich don gia'!G128</f>
        <v>26540.811</v>
      </c>
      <c r="I46" s="51">
        <f>E46*F46</f>
        <v>0</v>
      </c>
      <c r="J46" s="51">
        <f>E46*G46</f>
        <v>0</v>
      </c>
      <c r="K46" s="52">
        <f>E46*H46</f>
        <v>26540.811</v>
      </c>
    </row>
    <row r="47" spans="1:11" ht="15" thickBot="1">
      <c r="A47" s="58" t="s">
        <v>0</v>
      </c>
      <c r="B47" s="59" t="s">
        <v>0</v>
      </c>
      <c r="C47" s="59"/>
      <c r="D47" s="59" t="s">
        <v>0</v>
      </c>
      <c r="E47" s="72"/>
      <c r="F47" s="60"/>
      <c r="G47" s="60"/>
      <c r="H47" s="60"/>
      <c r="I47" s="61"/>
      <c r="J47" s="61"/>
      <c r="K47" s="62"/>
    </row>
  </sheetData>
  <sheetProtection/>
  <mergeCells count="11">
    <mergeCell ref="D7:D8"/>
    <mergeCell ref="E7:E8"/>
    <mergeCell ref="F7:H7"/>
    <mergeCell ref="I7:K7"/>
    <mergeCell ref="A1:K1"/>
    <mergeCell ref="A3:K3"/>
    <mergeCell ref="A4:K4"/>
    <mergeCell ref="A5:K5"/>
    <mergeCell ref="A7:A8"/>
    <mergeCell ref="B7:B8"/>
    <mergeCell ref="C7:C8"/>
  </mergeCells>
  <printOptions horizontalCentered="1"/>
  <pageMargins left="0.5" right="0.2" top="0.3" bottom="0.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showZeros="0" zoomScalePageLayoutView="0" workbookViewId="0" topLeftCell="A38">
      <selection activeCell="E46" sqref="E46"/>
    </sheetView>
  </sheetViews>
  <sheetFormatPr defaultColWidth="8.796875" defaultRowHeight="15"/>
  <cols>
    <col min="1" max="1" width="3.59765625" style="6" customWidth="1"/>
    <col min="2" max="2" width="8.59765625" style="6" customWidth="1"/>
    <col min="3" max="3" width="39.09765625" style="6" bestFit="1" customWidth="1"/>
    <col min="4" max="4" width="5.19921875" style="6" customWidth="1"/>
    <col min="5" max="5" width="10.09765625" style="77" customWidth="1"/>
    <col min="6" max="6" width="10.5" style="78" customWidth="1"/>
    <col min="7" max="7" width="12.5" style="78" customWidth="1"/>
    <col min="8" max="16384" width="9" style="6" customWidth="1"/>
  </cols>
  <sheetData>
    <row r="1" spans="1:7" ht="21">
      <c r="A1" s="237" t="s">
        <v>257</v>
      </c>
      <c r="B1" s="237"/>
      <c r="C1" s="237"/>
      <c r="D1" s="237"/>
      <c r="E1" s="237"/>
      <c r="F1" s="237"/>
      <c r="G1" s="237"/>
    </row>
    <row r="2" spans="1:7" ht="15.75">
      <c r="A2" s="2"/>
      <c r="B2" s="2"/>
      <c r="C2" s="2"/>
      <c r="D2" s="2"/>
      <c r="E2" s="91"/>
      <c r="F2" s="1"/>
      <c r="G2" s="1"/>
    </row>
    <row r="3" spans="1:7" s="38" customFormat="1" ht="16.5">
      <c r="A3" s="229" t="s">
        <v>237</v>
      </c>
      <c r="B3" s="229"/>
      <c r="C3" s="229"/>
      <c r="D3" s="229"/>
      <c r="E3" s="229"/>
      <c r="F3" s="229"/>
      <c r="G3" s="229"/>
    </row>
    <row r="4" spans="1:7" s="38" customFormat="1" ht="16.5">
      <c r="A4" s="229" t="s">
        <v>238</v>
      </c>
      <c r="B4" s="229"/>
      <c r="C4" s="229"/>
      <c r="D4" s="229"/>
      <c r="E4" s="229"/>
      <c r="F4" s="229"/>
      <c r="G4" s="229"/>
    </row>
    <row r="5" spans="1:7" s="38" customFormat="1" ht="16.5">
      <c r="A5" s="229"/>
      <c r="B5" s="229"/>
      <c r="C5" s="229"/>
      <c r="D5" s="229"/>
      <c r="E5" s="229"/>
      <c r="F5" s="229"/>
      <c r="G5" s="229"/>
    </row>
    <row r="6" spans="1:7" ht="16.5" thickBot="1">
      <c r="A6" s="2"/>
      <c r="B6" s="2"/>
      <c r="C6" s="2"/>
      <c r="D6" s="2"/>
      <c r="E6" s="91"/>
      <c r="F6" s="1"/>
      <c r="G6" s="1"/>
    </row>
    <row r="7" spans="1:7" ht="45" customHeight="1">
      <c r="A7" s="33" t="s">
        <v>120</v>
      </c>
      <c r="B7" s="35" t="s">
        <v>258</v>
      </c>
      <c r="C7" s="34" t="s">
        <v>250</v>
      </c>
      <c r="D7" s="35" t="s">
        <v>259</v>
      </c>
      <c r="E7" s="92" t="s">
        <v>260</v>
      </c>
      <c r="F7" s="93" t="s">
        <v>248</v>
      </c>
      <c r="G7" s="94" t="s">
        <v>246</v>
      </c>
    </row>
    <row r="8" spans="1:7" ht="15">
      <c r="A8" s="86" t="s">
        <v>2</v>
      </c>
      <c r="B8" s="87" t="s">
        <v>3</v>
      </c>
      <c r="C8" s="87" t="s">
        <v>4</v>
      </c>
      <c r="D8" s="87" t="s">
        <v>5</v>
      </c>
      <c r="E8" s="88"/>
      <c r="F8" s="89"/>
      <c r="G8" s="90"/>
    </row>
    <row r="9" spans="1:7" ht="15">
      <c r="A9" s="12" t="s">
        <v>0</v>
      </c>
      <c r="B9" s="13" t="s">
        <v>0</v>
      </c>
      <c r="C9" s="13" t="s">
        <v>6</v>
      </c>
      <c r="D9" s="13" t="s">
        <v>0</v>
      </c>
      <c r="E9" s="79"/>
      <c r="F9" s="80"/>
      <c r="G9" s="81"/>
    </row>
    <row r="10" spans="1:7" ht="15.75">
      <c r="A10" s="12" t="s">
        <v>0</v>
      </c>
      <c r="B10" s="13" t="s">
        <v>0</v>
      </c>
      <c r="C10" s="13" t="s">
        <v>183</v>
      </c>
      <c r="D10" s="13" t="s">
        <v>0</v>
      </c>
      <c r="E10" s="79"/>
      <c r="F10" s="80"/>
      <c r="G10" s="82">
        <f>ROUND(SUM(G11:G11),5)</f>
        <v>371789.998</v>
      </c>
    </row>
    <row r="11" spans="1:7" ht="15">
      <c r="A11" s="12" t="s">
        <v>0</v>
      </c>
      <c r="B11" s="13" t="s">
        <v>0</v>
      </c>
      <c r="C11" s="13" t="s">
        <v>7</v>
      </c>
      <c r="D11" s="13" t="s">
        <v>8</v>
      </c>
      <c r="E11" s="79">
        <f>1.22</f>
        <v>1.22</v>
      </c>
      <c r="F11" s="80">
        <f>'Gia VL'!Q12</f>
        <v>304745.9</v>
      </c>
      <c r="G11" s="81">
        <f>ROUND(E11*F11,5)</f>
        <v>371789.998</v>
      </c>
    </row>
    <row r="12" spans="1:7" ht="15.75">
      <c r="A12" s="12" t="s">
        <v>0</v>
      </c>
      <c r="B12" s="13" t="s">
        <v>0</v>
      </c>
      <c r="C12" s="13" t="s">
        <v>179</v>
      </c>
      <c r="D12" s="13" t="s">
        <v>0</v>
      </c>
      <c r="E12" s="79"/>
      <c r="F12" s="80"/>
      <c r="G12" s="82">
        <f>ROUND(SUM(G13:G13),5)</f>
        <v>3256.53208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79">
        <f>0.0149</f>
        <v>0.0149</v>
      </c>
      <c r="F13" s="80">
        <f>'Gia NC,CM'!P8</f>
        <v>218559.2</v>
      </c>
      <c r="G13" s="81">
        <f>ROUND(E13*F13,5)</f>
        <v>3256.53208</v>
      </c>
    </row>
    <row r="14" spans="1:7" ht="15.75">
      <c r="A14" s="12" t="s">
        <v>0</v>
      </c>
      <c r="B14" s="13" t="s">
        <v>0</v>
      </c>
      <c r="C14" s="13" t="s">
        <v>178</v>
      </c>
      <c r="D14" s="13" t="s">
        <v>0</v>
      </c>
      <c r="E14" s="79"/>
      <c r="F14" s="80"/>
      <c r="G14" s="82">
        <f>ROUND(SUM(G15:G19),5)</f>
        <v>6676.06595</v>
      </c>
    </row>
    <row r="15" spans="1:7" ht="15">
      <c r="A15" s="12" t="s">
        <v>0</v>
      </c>
      <c r="B15" s="13" t="s">
        <v>0</v>
      </c>
      <c r="C15" s="13" t="s">
        <v>11</v>
      </c>
      <c r="D15" s="13" t="s">
        <v>12</v>
      </c>
      <c r="E15" s="79">
        <f>0.00342</f>
        <v>0.00342</v>
      </c>
      <c r="F15" s="80">
        <f>'Gia NC,CM'!P13</f>
        <v>1010267.8</v>
      </c>
      <c r="G15" s="81">
        <f>ROUND(E15*F15,5)</f>
        <v>3455.11588</v>
      </c>
    </row>
    <row r="16" spans="1:7" ht="15">
      <c r="A16" s="12" t="s">
        <v>0</v>
      </c>
      <c r="B16" s="13" t="s">
        <v>0</v>
      </c>
      <c r="C16" s="13" t="s">
        <v>13</v>
      </c>
      <c r="D16" s="13" t="s">
        <v>12</v>
      </c>
      <c r="E16" s="79">
        <f>0.00171</f>
        <v>0.00171</v>
      </c>
      <c r="F16" s="80">
        <f>'Gia NC,CM'!P18</f>
        <v>1825900</v>
      </c>
      <c r="G16" s="81">
        <f>ROUND(E16*F16,5)</f>
        <v>3122.289</v>
      </c>
    </row>
    <row r="17" spans="1:7" ht="15">
      <c r="A17" s="12" t="s">
        <v>0</v>
      </c>
      <c r="B17" s="13" t="s">
        <v>0</v>
      </c>
      <c r="C17" s="13" t="s">
        <v>182</v>
      </c>
      <c r="D17" s="13" t="s">
        <v>181</v>
      </c>
      <c r="E17" s="79">
        <f>1.5</f>
        <v>1.5</v>
      </c>
      <c r="F17" s="80"/>
      <c r="G17" s="81">
        <f>ROUND(SUM(G15:G16)*E17/100,5)</f>
        <v>98.66107</v>
      </c>
    </row>
    <row r="18" spans="1:7" ht="15">
      <c r="A18" s="12" t="s">
        <v>0</v>
      </c>
      <c r="B18" s="13" t="s">
        <v>0</v>
      </c>
      <c r="C18" s="13" t="s">
        <v>0</v>
      </c>
      <c r="D18" s="13" t="s">
        <v>0</v>
      </c>
      <c r="E18" s="79"/>
      <c r="F18" s="80"/>
      <c r="G18" s="81"/>
    </row>
    <row r="19" spans="1:7" ht="15">
      <c r="A19" s="12" t="s">
        <v>14</v>
      </c>
      <c r="B19" s="13" t="s">
        <v>15</v>
      </c>
      <c r="C19" s="13" t="s">
        <v>16</v>
      </c>
      <c r="D19" s="13" t="s">
        <v>17</v>
      </c>
      <c r="E19" s="79"/>
      <c r="F19" s="80"/>
      <c r="G19" s="81"/>
    </row>
    <row r="20" spans="1:7" ht="15.75">
      <c r="A20" s="12" t="s">
        <v>0</v>
      </c>
      <c r="B20" s="13" t="s">
        <v>0</v>
      </c>
      <c r="C20" s="13" t="s">
        <v>183</v>
      </c>
      <c r="D20" s="13" t="s">
        <v>0</v>
      </c>
      <c r="E20" s="79"/>
      <c r="F20" s="80"/>
      <c r="G20" s="82">
        <f>ROUND(SUM(G21:G22),5)</f>
        <v>5511</v>
      </c>
    </row>
    <row r="21" spans="1:7" ht="15">
      <c r="A21" s="12" t="s">
        <v>0</v>
      </c>
      <c r="B21" s="13" t="s">
        <v>0</v>
      </c>
      <c r="C21" s="13" t="s">
        <v>18</v>
      </c>
      <c r="D21" s="13" t="s">
        <v>19</v>
      </c>
      <c r="E21" s="79">
        <f>1.1</f>
        <v>1.1</v>
      </c>
      <c r="F21" s="80">
        <f>'Gia VL'!Q11</f>
        <v>5000</v>
      </c>
      <c r="G21" s="81">
        <f>ROUND(E21*F21,5)</f>
        <v>5500</v>
      </c>
    </row>
    <row r="22" spans="1:7" ht="15">
      <c r="A22" s="12" t="s">
        <v>0</v>
      </c>
      <c r="B22" s="13" t="s">
        <v>0</v>
      </c>
      <c r="C22" s="13" t="s">
        <v>184</v>
      </c>
      <c r="D22" s="13" t="s">
        <v>181</v>
      </c>
      <c r="E22" s="79">
        <f>0.2</f>
        <v>0.2</v>
      </c>
      <c r="F22" s="80"/>
      <c r="G22" s="81">
        <f>ROUND(SUM(G21:G21)*E22/100,5)</f>
        <v>11</v>
      </c>
    </row>
    <row r="23" spans="1:7" ht="15.75">
      <c r="A23" s="12" t="s">
        <v>0</v>
      </c>
      <c r="B23" s="13" t="s">
        <v>0</v>
      </c>
      <c r="C23" s="13" t="s">
        <v>179</v>
      </c>
      <c r="D23" s="13" t="s">
        <v>0</v>
      </c>
      <c r="E23" s="79"/>
      <c r="F23" s="80"/>
      <c r="G23" s="82">
        <f>ROUND(SUM(G24:G26),5)</f>
        <v>378.3</v>
      </c>
    </row>
    <row r="24" spans="1:7" ht="15">
      <c r="A24" s="12" t="s">
        <v>0</v>
      </c>
      <c r="B24" s="13" t="s">
        <v>0</v>
      </c>
      <c r="C24" s="13" t="s">
        <v>20</v>
      </c>
      <c r="D24" s="13" t="s">
        <v>10</v>
      </c>
      <c r="E24" s="79">
        <f>0.0015</f>
        <v>0.0015</v>
      </c>
      <c r="F24" s="80">
        <f>'Gia NC,CM'!P9</f>
        <v>252200</v>
      </c>
      <c r="G24" s="81">
        <f>ROUND(E24*F24,5)</f>
        <v>378.3</v>
      </c>
    </row>
    <row r="25" spans="1:7" ht="15">
      <c r="A25" s="12" t="s">
        <v>0</v>
      </c>
      <c r="B25" s="13" t="s">
        <v>0</v>
      </c>
      <c r="C25" s="13" t="s">
        <v>0</v>
      </c>
      <c r="D25" s="13" t="s">
        <v>0</v>
      </c>
      <c r="E25" s="79"/>
      <c r="F25" s="80"/>
      <c r="G25" s="81"/>
    </row>
    <row r="26" spans="1:7" ht="15">
      <c r="A26" s="12" t="s">
        <v>21</v>
      </c>
      <c r="B26" s="13" t="s">
        <v>22</v>
      </c>
      <c r="C26" s="13" t="s">
        <v>23</v>
      </c>
      <c r="D26" s="13" t="s">
        <v>17</v>
      </c>
      <c r="E26" s="79"/>
      <c r="F26" s="80"/>
      <c r="G26" s="81"/>
    </row>
    <row r="27" spans="1:7" ht="15.75">
      <c r="A27" s="12" t="s">
        <v>0</v>
      </c>
      <c r="B27" s="13" t="s">
        <v>0</v>
      </c>
      <c r="C27" s="13" t="s">
        <v>183</v>
      </c>
      <c r="D27" s="13" t="s">
        <v>0</v>
      </c>
      <c r="E27" s="79"/>
      <c r="F27" s="80"/>
      <c r="G27" s="82">
        <f>ROUND(SUM(G28:G30),5)</f>
        <v>7292.73056</v>
      </c>
    </row>
    <row r="28" spans="1:7" ht="15">
      <c r="A28" s="12" t="s">
        <v>0</v>
      </c>
      <c r="B28" s="13" t="s">
        <v>0</v>
      </c>
      <c r="C28" s="13" t="s">
        <v>24</v>
      </c>
      <c r="D28" s="13" t="s">
        <v>25</v>
      </c>
      <c r="E28" s="79">
        <f>0.315</f>
        <v>0.315</v>
      </c>
      <c r="F28" s="80">
        <f>ROUND('Gia VL'!Q20/1000,5)</f>
        <v>21045.8974</v>
      </c>
      <c r="G28" s="81">
        <f>ROUND(E28*F28,5)</f>
        <v>6629.45768</v>
      </c>
    </row>
    <row r="29" spans="1:7" ht="15">
      <c r="A29" s="12" t="s">
        <v>0</v>
      </c>
      <c r="B29" s="13" t="s">
        <v>0</v>
      </c>
      <c r="C29" s="13" t="s">
        <v>26</v>
      </c>
      <c r="D29" s="13" t="s">
        <v>25</v>
      </c>
      <c r="E29" s="79">
        <f>0.0158</f>
        <v>0.0158</v>
      </c>
      <c r="F29" s="80">
        <f>ROUND('Gia VL'!Q19/1000,5)</f>
        <v>20000</v>
      </c>
      <c r="G29" s="81">
        <f>ROUND(E29*F29,5)</f>
        <v>316</v>
      </c>
    </row>
    <row r="30" spans="1:7" ht="15">
      <c r="A30" s="12" t="s">
        <v>0</v>
      </c>
      <c r="B30" s="13" t="s">
        <v>0</v>
      </c>
      <c r="C30" s="13" t="s">
        <v>184</v>
      </c>
      <c r="D30" s="13" t="s">
        <v>181</v>
      </c>
      <c r="E30" s="79">
        <f>5</f>
        <v>5</v>
      </c>
      <c r="F30" s="80"/>
      <c r="G30" s="81">
        <f>ROUND(SUM(G28:G29)*E30/100,5)</f>
        <v>347.27288</v>
      </c>
    </row>
    <row r="31" spans="1:7" ht="15.75">
      <c r="A31" s="12" t="s">
        <v>0</v>
      </c>
      <c r="B31" s="13" t="s">
        <v>0</v>
      </c>
      <c r="C31" s="13" t="s">
        <v>179</v>
      </c>
      <c r="D31" s="13" t="s">
        <v>0</v>
      </c>
      <c r="E31" s="79"/>
      <c r="F31" s="80"/>
      <c r="G31" s="82">
        <f>ROUND(SUM(G32:G32),5)</f>
        <v>31483.5155</v>
      </c>
    </row>
    <row r="32" spans="1:7" ht="15">
      <c r="A32" s="12" t="s">
        <v>0</v>
      </c>
      <c r="B32" s="13" t="s">
        <v>0</v>
      </c>
      <c r="C32" s="13" t="s">
        <v>27</v>
      </c>
      <c r="D32" s="13" t="s">
        <v>10</v>
      </c>
      <c r="E32" s="79">
        <f>0.115</f>
        <v>0.115</v>
      </c>
      <c r="F32" s="80">
        <f>'Gia NC,CM'!P10</f>
        <v>273769.7</v>
      </c>
      <c r="G32" s="81">
        <f>ROUND(E32*F32,5)</f>
        <v>31483.5155</v>
      </c>
    </row>
    <row r="33" spans="1:7" ht="15.75">
      <c r="A33" s="12" t="s">
        <v>0</v>
      </c>
      <c r="B33" s="13" t="s">
        <v>0</v>
      </c>
      <c r="C33" s="13" t="s">
        <v>178</v>
      </c>
      <c r="D33" s="13" t="s">
        <v>0</v>
      </c>
      <c r="E33" s="79"/>
      <c r="F33" s="80"/>
      <c r="G33" s="82">
        <f>ROUND(SUM(G34:G38),5)</f>
        <v>1753.948</v>
      </c>
    </row>
    <row r="34" spans="1:7" ht="15">
      <c r="A34" s="12" t="s">
        <v>0</v>
      </c>
      <c r="B34" s="13" t="s">
        <v>0</v>
      </c>
      <c r="C34" s="13" t="s">
        <v>28</v>
      </c>
      <c r="D34" s="13" t="s">
        <v>12</v>
      </c>
      <c r="E34" s="79">
        <f>0.0042</f>
        <v>0.0042</v>
      </c>
      <c r="F34" s="80">
        <f>'Gia NC,CM'!P11</f>
        <v>409418.3</v>
      </c>
      <c r="G34" s="81">
        <f>ROUND(E34*F34,5)</f>
        <v>1719.55686</v>
      </c>
    </row>
    <row r="35" spans="1:7" ht="15">
      <c r="A35" s="12" t="s">
        <v>0</v>
      </c>
      <c r="B35" s="13" t="s">
        <v>0</v>
      </c>
      <c r="C35" s="13" t="s">
        <v>182</v>
      </c>
      <c r="D35" s="13" t="s">
        <v>181</v>
      </c>
      <c r="E35" s="79">
        <f>2</f>
        <v>2</v>
      </c>
      <c r="F35" s="80"/>
      <c r="G35" s="81">
        <f>ROUND(SUM(G34:G34)*E35/100,5)</f>
        <v>34.39114</v>
      </c>
    </row>
    <row r="36" spans="1:7" ht="15">
      <c r="A36" s="12" t="s">
        <v>0</v>
      </c>
      <c r="B36" s="13" t="s">
        <v>0</v>
      </c>
      <c r="C36" s="13" t="s">
        <v>0</v>
      </c>
      <c r="D36" s="13" t="s">
        <v>0</v>
      </c>
      <c r="E36" s="79"/>
      <c r="F36" s="80"/>
      <c r="G36" s="81"/>
    </row>
    <row r="37" spans="1:7" ht="15">
      <c r="A37" s="12" t="s">
        <v>29</v>
      </c>
      <c r="B37" s="13" t="s">
        <v>30</v>
      </c>
      <c r="C37" s="13" t="s">
        <v>31</v>
      </c>
      <c r="D37" s="13" t="s">
        <v>5</v>
      </c>
      <c r="E37" s="79"/>
      <c r="F37" s="80"/>
      <c r="G37" s="81"/>
    </row>
    <row r="38" spans="1:7" ht="15">
      <c r="A38" s="12" t="s">
        <v>0</v>
      </c>
      <c r="B38" s="13" t="s">
        <v>0</v>
      </c>
      <c r="C38" s="13" t="s">
        <v>32</v>
      </c>
      <c r="D38" s="13" t="s">
        <v>0</v>
      </c>
      <c r="E38" s="79"/>
      <c r="F38" s="80"/>
      <c r="G38" s="81"/>
    </row>
    <row r="39" spans="1:7" ht="15.75">
      <c r="A39" s="12" t="s">
        <v>0</v>
      </c>
      <c r="B39" s="13" t="s">
        <v>0</v>
      </c>
      <c r="C39" s="13" t="s">
        <v>183</v>
      </c>
      <c r="D39" s="13" t="s">
        <v>0</v>
      </c>
      <c r="E39" s="79"/>
      <c r="F39" s="80"/>
      <c r="G39" s="82">
        <f>ROUND(SUM(G40:G43),5)</f>
        <v>1391037.70979</v>
      </c>
    </row>
    <row r="40" spans="1:7" ht="15">
      <c r="A40" s="12" t="s">
        <v>0</v>
      </c>
      <c r="B40" s="13" t="s">
        <v>0</v>
      </c>
      <c r="C40" s="13" t="s">
        <v>33</v>
      </c>
      <c r="D40" s="13" t="s">
        <v>8</v>
      </c>
      <c r="E40" s="79">
        <f>1.025</f>
        <v>1.025</v>
      </c>
      <c r="F40" s="80">
        <f>'Gia VL'!Q8</f>
        <v>1223751</v>
      </c>
      <c r="G40" s="81">
        <f>ROUND(E40*F40,5)</f>
        <v>1254344.775</v>
      </c>
    </row>
    <row r="41" spans="1:7" ht="15">
      <c r="A41" s="12" t="s">
        <v>0</v>
      </c>
      <c r="B41" s="13" t="s">
        <v>0</v>
      </c>
      <c r="C41" s="13" t="s">
        <v>34</v>
      </c>
      <c r="D41" s="13" t="s">
        <v>8</v>
      </c>
      <c r="E41" s="79">
        <f>0.014</f>
        <v>0.014</v>
      </c>
      <c r="F41" s="80">
        <f>'Gia VL'!Q17</f>
        <v>4090909.09</v>
      </c>
      <c r="G41" s="81">
        <f>ROUND(E41*F41,5)</f>
        <v>57272.72726</v>
      </c>
    </row>
    <row r="42" spans="1:7" ht="15">
      <c r="A42" s="12" t="s">
        <v>0</v>
      </c>
      <c r="B42" s="13" t="s">
        <v>0</v>
      </c>
      <c r="C42" s="13" t="s">
        <v>35</v>
      </c>
      <c r="D42" s="13" t="s">
        <v>25</v>
      </c>
      <c r="E42" s="79">
        <f>3.5</f>
        <v>3.5</v>
      </c>
      <c r="F42" s="80">
        <f>ROUND('Gia VL'!Q18/1000,5)</f>
        <v>16818</v>
      </c>
      <c r="G42" s="81">
        <f>ROUND(E42*F42,5)</f>
        <v>58863</v>
      </c>
    </row>
    <row r="43" spans="1:7" ht="15">
      <c r="A43" s="12" t="s">
        <v>0</v>
      </c>
      <c r="B43" s="13" t="s">
        <v>0</v>
      </c>
      <c r="C43" s="13" t="s">
        <v>184</v>
      </c>
      <c r="D43" s="13" t="s">
        <v>181</v>
      </c>
      <c r="E43" s="79">
        <f>1.5</f>
        <v>1.5</v>
      </c>
      <c r="F43" s="80"/>
      <c r="G43" s="81">
        <f>ROUND(SUM(G40:G42)*E43/100,5)</f>
        <v>20557.20753</v>
      </c>
    </row>
    <row r="44" spans="1:7" ht="15.75">
      <c r="A44" s="12" t="s">
        <v>0</v>
      </c>
      <c r="B44" s="13" t="s">
        <v>0</v>
      </c>
      <c r="C44" s="13" t="s">
        <v>179</v>
      </c>
      <c r="D44" s="13" t="s">
        <v>0</v>
      </c>
      <c r="E44" s="79"/>
      <c r="F44" s="80"/>
      <c r="G44" s="82">
        <f>ROUND(SUM(G45:G45),5)</f>
        <v>207308.4</v>
      </c>
    </row>
    <row r="45" spans="1:7" ht="15">
      <c r="A45" s="12" t="s">
        <v>0</v>
      </c>
      <c r="B45" s="13" t="s">
        <v>0</v>
      </c>
      <c r="C45" s="13" t="s">
        <v>20</v>
      </c>
      <c r="D45" s="13" t="s">
        <v>10</v>
      </c>
      <c r="E45" s="79">
        <f>1.37*0.6</f>
        <v>0.8220000000000001</v>
      </c>
      <c r="F45" s="80">
        <f>'Gia NC,CM'!P9</f>
        <v>252200</v>
      </c>
      <c r="G45" s="81">
        <f>ROUND(E45*F45,5)</f>
        <v>207308.4</v>
      </c>
    </row>
    <row r="46" spans="1:7" ht="15.75">
      <c r="A46" s="12" t="s">
        <v>0</v>
      </c>
      <c r="B46" s="13" t="s">
        <v>0</v>
      </c>
      <c r="C46" s="13" t="s">
        <v>178</v>
      </c>
      <c r="D46" s="13" t="s">
        <v>0</v>
      </c>
      <c r="E46" s="79"/>
      <c r="F46" s="80"/>
      <c r="G46" s="82">
        <f>ROUND(SUM(G47:G52),5)</f>
        <v>49549.10386</v>
      </c>
    </row>
    <row r="47" spans="1:7" ht="15">
      <c r="A47" s="12" t="s">
        <v>0</v>
      </c>
      <c r="B47" s="13" t="s">
        <v>0</v>
      </c>
      <c r="C47" s="13" t="s">
        <v>36</v>
      </c>
      <c r="D47" s="13" t="s">
        <v>12</v>
      </c>
      <c r="E47" s="79">
        <f>0.089</f>
        <v>0.089</v>
      </c>
      <c r="F47" s="80">
        <f>'Gia NC,CM'!P16</f>
        <v>270954</v>
      </c>
      <c r="G47" s="81">
        <f>ROUND(E47*F47,5)</f>
        <v>24114.906</v>
      </c>
    </row>
    <row r="48" spans="1:7" ht="15">
      <c r="A48" s="12" t="s">
        <v>0</v>
      </c>
      <c r="B48" s="13" t="s">
        <v>0</v>
      </c>
      <c r="C48" s="13" t="s">
        <v>37</v>
      </c>
      <c r="D48" s="13" t="s">
        <v>12</v>
      </c>
      <c r="E48" s="79">
        <f>0.089</f>
        <v>0.089</v>
      </c>
      <c r="F48" s="80">
        <f>'Gia NC,CM'!P17</f>
        <v>274861.2</v>
      </c>
      <c r="G48" s="81">
        <f>ROUND(E48*F48,5)</f>
        <v>24462.6468</v>
      </c>
    </row>
    <row r="49" spans="1:7" ht="15">
      <c r="A49" s="12" t="s">
        <v>0</v>
      </c>
      <c r="B49" s="13" t="s">
        <v>0</v>
      </c>
      <c r="C49" s="13" t="s">
        <v>182</v>
      </c>
      <c r="D49" s="13" t="s">
        <v>181</v>
      </c>
      <c r="E49" s="79">
        <f>2</f>
        <v>2</v>
      </c>
      <c r="F49" s="80"/>
      <c r="G49" s="81">
        <f>ROUND(SUM(G47:G48)*E49/100,5)</f>
        <v>971.55106</v>
      </c>
    </row>
    <row r="50" spans="1:7" ht="15">
      <c r="A50" s="12" t="s">
        <v>0</v>
      </c>
      <c r="B50" s="13" t="s">
        <v>0</v>
      </c>
      <c r="C50" s="13" t="s">
        <v>0</v>
      </c>
      <c r="D50" s="13" t="s">
        <v>0</v>
      </c>
      <c r="E50" s="79"/>
      <c r="F50" s="80"/>
      <c r="G50" s="81"/>
    </row>
    <row r="51" spans="1:7" ht="15">
      <c r="A51" s="12" t="s">
        <v>39</v>
      </c>
      <c r="B51" s="13" t="s">
        <v>40</v>
      </c>
      <c r="C51" s="13" t="s">
        <v>41</v>
      </c>
      <c r="D51" s="13" t="s">
        <v>5</v>
      </c>
      <c r="E51" s="79"/>
      <c r="F51" s="80"/>
      <c r="G51" s="81"/>
    </row>
    <row r="52" spans="1:7" ht="15">
      <c r="A52" s="12" t="s">
        <v>0</v>
      </c>
      <c r="B52" s="13" t="s">
        <v>0</v>
      </c>
      <c r="C52" s="13" t="s">
        <v>42</v>
      </c>
      <c r="D52" s="13" t="s">
        <v>0</v>
      </c>
      <c r="E52" s="79"/>
      <c r="F52" s="80"/>
      <c r="G52" s="81"/>
    </row>
    <row r="53" spans="1:7" ht="15.75">
      <c r="A53" s="12" t="s">
        <v>0</v>
      </c>
      <c r="B53" s="13" t="s">
        <v>0</v>
      </c>
      <c r="C53" s="13" t="s">
        <v>179</v>
      </c>
      <c r="D53" s="13" t="s">
        <v>0</v>
      </c>
      <c r="E53" s="79"/>
      <c r="F53" s="80"/>
      <c r="G53" s="82">
        <f>ROUND(SUM(G54:G54),5)</f>
        <v>1114.65192</v>
      </c>
    </row>
    <row r="54" spans="1:7" ht="15">
      <c r="A54" s="12" t="s">
        <v>0</v>
      </c>
      <c r="B54" s="13" t="s">
        <v>0</v>
      </c>
      <c r="C54" s="13" t="s">
        <v>9</v>
      </c>
      <c r="D54" s="13" t="s">
        <v>10</v>
      </c>
      <c r="E54" s="79">
        <f>0.0051</f>
        <v>0.0051</v>
      </c>
      <c r="F54" s="80">
        <f>'Gia NC,CM'!P8</f>
        <v>218559.2</v>
      </c>
      <c r="G54" s="81">
        <f>ROUND(E54*F54,5)</f>
        <v>1114.65192</v>
      </c>
    </row>
    <row r="55" spans="1:7" ht="15.75">
      <c r="A55" s="12" t="s">
        <v>0</v>
      </c>
      <c r="B55" s="13" t="s">
        <v>0</v>
      </c>
      <c r="C55" s="13" t="s">
        <v>178</v>
      </c>
      <c r="D55" s="13" t="s">
        <v>0</v>
      </c>
      <c r="E55" s="79"/>
      <c r="F55" s="80"/>
      <c r="G55" s="82">
        <f>ROUND(SUM(G56:G60),5)</f>
        <v>8188.48473</v>
      </c>
    </row>
    <row r="56" spans="1:7" ht="15">
      <c r="A56" s="12" t="s">
        <v>0</v>
      </c>
      <c r="B56" s="13" t="s">
        <v>0</v>
      </c>
      <c r="C56" s="13" t="s">
        <v>43</v>
      </c>
      <c r="D56" s="13" t="s">
        <v>12</v>
      </c>
      <c r="E56" s="79">
        <f>0.00218</f>
        <v>0.00218</v>
      </c>
      <c r="F56" s="80">
        <f>'Gia NC,CM'!P14</f>
        <v>3513290.7</v>
      </c>
      <c r="G56" s="81">
        <f>ROUND(E56*F56,5)</f>
        <v>7658.97373</v>
      </c>
    </row>
    <row r="57" spans="1:7" ht="15">
      <c r="A57" s="12" t="s">
        <v>0</v>
      </c>
      <c r="B57" s="13" t="s">
        <v>0</v>
      </c>
      <c r="C57" s="13" t="s">
        <v>13</v>
      </c>
      <c r="D57" s="13" t="s">
        <v>12</v>
      </c>
      <c r="E57" s="79">
        <f>0.00029</f>
        <v>0.00029</v>
      </c>
      <c r="F57" s="80">
        <f>'Gia NC,CM'!P18</f>
        <v>1825900</v>
      </c>
      <c r="G57" s="81">
        <f>ROUND(E57*F57,5)</f>
        <v>529.511</v>
      </c>
    </row>
    <row r="58" spans="1:7" ht="15">
      <c r="A58" s="12" t="s">
        <v>0</v>
      </c>
      <c r="B58" s="13" t="s">
        <v>0</v>
      </c>
      <c r="C58" s="13" t="s">
        <v>0</v>
      </c>
      <c r="D58" s="13" t="s">
        <v>0</v>
      </c>
      <c r="E58" s="79"/>
      <c r="F58" s="80"/>
      <c r="G58" s="81"/>
    </row>
    <row r="59" spans="1:7" ht="15">
      <c r="A59" s="12" t="s">
        <v>44</v>
      </c>
      <c r="B59" s="13" t="s">
        <v>45</v>
      </c>
      <c r="C59" s="13" t="s">
        <v>46</v>
      </c>
      <c r="D59" s="13" t="s">
        <v>5</v>
      </c>
      <c r="E59" s="79"/>
      <c r="F59" s="80"/>
      <c r="G59" s="81"/>
    </row>
    <row r="60" spans="1:7" ht="15">
      <c r="A60" s="12" t="s">
        <v>0</v>
      </c>
      <c r="B60" s="13" t="s">
        <v>0</v>
      </c>
      <c r="C60" s="13" t="s">
        <v>47</v>
      </c>
      <c r="D60" s="13" t="s">
        <v>0</v>
      </c>
      <c r="E60" s="79"/>
      <c r="F60" s="80"/>
      <c r="G60" s="81"/>
    </row>
    <row r="61" spans="1:7" ht="15.75">
      <c r="A61" s="12" t="s">
        <v>0</v>
      </c>
      <c r="B61" s="13" t="s">
        <v>0</v>
      </c>
      <c r="C61" s="13" t="s">
        <v>179</v>
      </c>
      <c r="D61" s="13" t="s">
        <v>0</v>
      </c>
      <c r="E61" s="79"/>
      <c r="F61" s="80"/>
      <c r="G61" s="82">
        <f>ROUND(SUM(G62:G62),5)</f>
        <v>8873.50352</v>
      </c>
    </row>
    <row r="62" spans="1:7" ht="15">
      <c r="A62" s="12" t="s">
        <v>0</v>
      </c>
      <c r="B62" s="13" t="s">
        <v>0</v>
      </c>
      <c r="C62" s="13" t="s">
        <v>9</v>
      </c>
      <c r="D62" s="13" t="s">
        <v>10</v>
      </c>
      <c r="E62" s="79">
        <f>0.0406</f>
        <v>0.0406</v>
      </c>
      <c r="F62" s="80">
        <f>'Gia NC,CM'!P8</f>
        <v>218559.2</v>
      </c>
      <c r="G62" s="81">
        <f>ROUND(E62*F62,5)</f>
        <v>8873.50352</v>
      </c>
    </row>
    <row r="63" spans="1:7" ht="15.75">
      <c r="A63" s="12" t="s">
        <v>0</v>
      </c>
      <c r="B63" s="13" t="s">
        <v>0</v>
      </c>
      <c r="C63" s="13" t="s">
        <v>178</v>
      </c>
      <c r="D63" s="13" t="s">
        <v>0</v>
      </c>
      <c r="E63" s="79"/>
      <c r="F63" s="80"/>
      <c r="G63" s="82">
        <f>ROUND(SUM(G64:G68),5)</f>
        <v>11656.69408</v>
      </c>
    </row>
    <row r="64" spans="1:7" ht="15">
      <c r="A64" s="12" t="s">
        <v>0</v>
      </c>
      <c r="B64" s="13" t="s">
        <v>0</v>
      </c>
      <c r="C64" s="13" t="s">
        <v>43</v>
      </c>
      <c r="D64" s="13" t="s">
        <v>12</v>
      </c>
      <c r="E64" s="79">
        <f>0.00311</f>
        <v>0.00311</v>
      </c>
      <c r="F64" s="80">
        <f>'Gia NC,CM'!P14</f>
        <v>3513290.7</v>
      </c>
      <c r="G64" s="81">
        <f>ROUND(E64*F64,5)</f>
        <v>10926.33408</v>
      </c>
    </row>
    <row r="65" spans="1:7" ht="15">
      <c r="A65" s="12" t="s">
        <v>0</v>
      </c>
      <c r="B65" s="13" t="s">
        <v>0</v>
      </c>
      <c r="C65" s="13" t="s">
        <v>13</v>
      </c>
      <c r="D65" s="13" t="s">
        <v>12</v>
      </c>
      <c r="E65" s="79">
        <f>0.0004</f>
        <v>0.0004</v>
      </c>
      <c r="F65" s="80">
        <f>'Gia NC,CM'!P18</f>
        <v>1825900</v>
      </c>
      <c r="G65" s="81">
        <f>ROUND(E65*F65,5)</f>
        <v>730.36</v>
      </c>
    </row>
    <row r="66" spans="1:7" ht="15">
      <c r="A66" s="12" t="s">
        <v>0</v>
      </c>
      <c r="B66" s="13" t="s">
        <v>0</v>
      </c>
      <c r="C66" s="13" t="s">
        <v>0</v>
      </c>
      <c r="D66" s="13" t="s">
        <v>0</v>
      </c>
      <c r="E66" s="79"/>
      <c r="F66" s="80"/>
      <c r="G66" s="81"/>
    </row>
    <row r="67" spans="1:7" ht="15">
      <c r="A67" s="12" t="s">
        <v>48</v>
      </c>
      <c r="B67" s="13" t="s">
        <v>49</v>
      </c>
      <c r="C67" s="13" t="s">
        <v>50</v>
      </c>
      <c r="D67" s="13" t="s">
        <v>5</v>
      </c>
      <c r="E67" s="79"/>
      <c r="F67" s="80"/>
      <c r="G67" s="81"/>
    </row>
    <row r="68" spans="1:7" ht="15">
      <c r="A68" s="12" t="s">
        <v>0</v>
      </c>
      <c r="B68" s="13" t="s">
        <v>0</v>
      </c>
      <c r="C68" s="13" t="s">
        <v>51</v>
      </c>
      <c r="D68" s="13" t="s">
        <v>0</v>
      </c>
      <c r="E68" s="79"/>
      <c r="F68" s="80"/>
      <c r="G68" s="81"/>
    </row>
    <row r="69" spans="1:7" ht="15.75">
      <c r="A69" s="12" t="s">
        <v>0</v>
      </c>
      <c r="B69" s="13" t="s">
        <v>0</v>
      </c>
      <c r="C69" s="13" t="s">
        <v>179</v>
      </c>
      <c r="D69" s="13" t="s">
        <v>0</v>
      </c>
      <c r="E69" s="79"/>
      <c r="F69" s="80"/>
      <c r="G69" s="82">
        <f>ROUND(SUM(G70:G70),5)</f>
        <v>2841.2696</v>
      </c>
    </row>
    <row r="70" spans="1:7" ht="15">
      <c r="A70" s="12" t="s">
        <v>0</v>
      </c>
      <c r="B70" s="13" t="s">
        <v>0</v>
      </c>
      <c r="C70" s="13" t="s">
        <v>9</v>
      </c>
      <c r="D70" s="13" t="s">
        <v>10</v>
      </c>
      <c r="E70" s="79">
        <f>0.013</f>
        <v>0.013</v>
      </c>
      <c r="F70" s="80">
        <f>'Gia NC,CM'!P8</f>
        <v>218559.2</v>
      </c>
      <c r="G70" s="81">
        <f>ROUND(E70*F70,5)</f>
        <v>2841.2696</v>
      </c>
    </row>
    <row r="71" spans="1:7" ht="15.75">
      <c r="A71" s="12" t="s">
        <v>0</v>
      </c>
      <c r="B71" s="13" t="s">
        <v>0</v>
      </c>
      <c r="C71" s="13" t="s">
        <v>178</v>
      </c>
      <c r="D71" s="13" t="s">
        <v>0</v>
      </c>
      <c r="E71" s="79"/>
      <c r="F71" s="80"/>
      <c r="G71" s="82">
        <f>ROUND(SUM(G72:G74),5)</f>
        <v>83164.9038</v>
      </c>
    </row>
    <row r="72" spans="1:7" ht="15">
      <c r="A72" s="12" t="s">
        <v>0</v>
      </c>
      <c r="B72" s="13" t="s">
        <v>0</v>
      </c>
      <c r="C72" s="13" t="s">
        <v>52</v>
      </c>
      <c r="D72" s="13" t="s">
        <v>12</v>
      </c>
      <c r="E72" s="79">
        <f>0.022</f>
        <v>0.022</v>
      </c>
      <c r="F72" s="80">
        <f>'Gia NC,CM'!P15</f>
        <v>3780222.9</v>
      </c>
      <c r="G72" s="81">
        <f>ROUND(E72*F72,5)</f>
        <v>83164.9038</v>
      </c>
    </row>
    <row r="73" spans="1:7" ht="15">
      <c r="A73" s="12" t="s">
        <v>0</v>
      </c>
      <c r="B73" s="13" t="s">
        <v>0</v>
      </c>
      <c r="C73" s="13" t="s">
        <v>0</v>
      </c>
      <c r="D73" s="13" t="s">
        <v>0</v>
      </c>
      <c r="E73" s="79"/>
      <c r="F73" s="80"/>
      <c r="G73" s="81"/>
    </row>
    <row r="74" spans="1:7" ht="15">
      <c r="A74" s="12" t="s">
        <v>53</v>
      </c>
      <c r="B74" s="13" t="s">
        <v>54</v>
      </c>
      <c r="C74" s="13" t="s">
        <v>55</v>
      </c>
      <c r="D74" s="13" t="s">
        <v>5</v>
      </c>
      <c r="E74" s="79"/>
      <c r="F74" s="80"/>
      <c r="G74" s="81"/>
    </row>
    <row r="75" spans="1:7" ht="15.75">
      <c r="A75" s="12" t="s">
        <v>0</v>
      </c>
      <c r="B75" s="13" t="s">
        <v>0</v>
      </c>
      <c r="C75" s="13" t="s">
        <v>183</v>
      </c>
      <c r="D75" s="13" t="s">
        <v>0</v>
      </c>
      <c r="E75" s="79"/>
      <c r="F75" s="80"/>
      <c r="G75" s="82">
        <f>ROUND(SUM(G76:G79),5)</f>
        <v>135415</v>
      </c>
    </row>
    <row r="76" spans="1:7" ht="15">
      <c r="A76" s="12" t="s">
        <v>0</v>
      </c>
      <c r="B76" s="13" t="s">
        <v>0</v>
      </c>
      <c r="C76" s="13" t="s">
        <v>56</v>
      </c>
      <c r="D76" s="13" t="s">
        <v>8</v>
      </c>
      <c r="E76" s="79">
        <f>1</f>
        <v>1</v>
      </c>
      <c r="F76" s="80">
        <f>'Gia VL'!Q22</f>
        <v>135415</v>
      </c>
      <c r="G76" s="81">
        <f>ROUND(E76*F76,5)</f>
        <v>135415</v>
      </c>
    </row>
    <row r="77" spans="1:7" ht="15">
      <c r="A77" s="12" t="s">
        <v>0</v>
      </c>
      <c r="B77" s="13" t="s">
        <v>0</v>
      </c>
      <c r="C77" s="13" t="s">
        <v>0</v>
      </c>
      <c r="D77" s="13" t="s">
        <v>0</v>
      </c>
      <c r="E77" s="79"/>
      <c r="F77" s="80"/>
      <c r="G77" s="81"/>
    </row>
    <row r="78" spans="1:7" ht="15">
      <c r="A78" s="12" t="s">
        <v>57</v>
      </c>
      <c r="B78" s="13" t="s">
        <v>58</v>
      </c>
      <c r="C78" s="13" t="s">
        <v>59</v>
      </c>
      <c r="D78" s="13" t="s">
        <v>5</v>
      </c>
      <c r="E78" s="79"/>
      <c r="F78" s="80"/>
      <c r="G78" s="81"/>
    </row>
    <row r="79" spans="1:7" ht="15">
      <c r="A79" s="12" t="s">
        <v>0</v>
      </c>
      <c r="B79" s="13" t="s">
        <v>0</v>
      </c>
      <c r="C79" s="13" t="s">
        <v>6</v>
      </c>
      <c r="D79" s="13" t="s">
        <v>0</v>
      </c>
      <c r="E79" s="79"/>
      <c r="F79" s="80"/>
      <c r="G79" s="81"/>
    </row>
    <row r="80" spans="1:7" ht="15.75">
      <c r="A80" s="12" t="s">
        <v>0</v>
      </c>
      <c r="B80" s="13" t="s">
        <v>0</v>
      </c>
      <c r="C80" s="13" t="s">
        <v>179</v>
      </c>
      <c r="D80" s="13" t="s">
        <v>0</v>
      </c>
      <c r="E80" s="79"/>
      <c r="F80" s="80"/>
      <c r="G80" s="82">
        <f>ROUND(SUM(G81:G81),5)</f>
        <v>2775.70184</v>
      </c>
    </row>
    <row r="81" spans="1:7" ht="15">
      <c r="A81" s="12" t="s">
        <v>0</v>
      </c>
      <c r="B81" s="13" t="s">
        <v>0</v>
      </c>
      <c r="C81" s="13" t="s">
        <v>9</v>
      </c>
      <c r="D81" s="13" t="s">
        <v>10</v>
      </c>
      <c r="E81" s="79">
        <f>0.0127</f>
        <v>0.0127</v>
      </c>
      <c r="F81" s="80">
        <f>'Gia NC,CM'!P8</f>
        <v>218559.2</v>
      </c>
      <c r="G81" s="81">
        <f>ROUND(E81*F81,5)</f>
        <v>2775.70184</v>
      </c>
    </row>
    <row r="82" spans="1:7" ht="15.75">
      <c r="A82" s="12" t="s">
        <v>0</v>
      </c>
      <c r="B82" s="13" t="s">
        <v>0</v>
      </c>
      <c r="C82" s="13" t="s">
        <v>178</v>
      </c>
      <c r="D82" s="13" t="s">
        <v>0</v>
      </c>
      <c r="E82" s="79"/>
      <c r="F82" s="80"/>
      <c r="G82" s="82">
        <f>ROUND(SUM(G83:G88),5)</f>
        <v>7524.48574</v>
      </c>
    </row>
    <row r="83" spans="1:7" ht="15">
      <c r="A83" s="12" t="s">
        <v>0</v>
      </c>
      <c r="B83" s="13" t="s">
        <v>0</v>
      </c>
      <c r="C83" s="13" t="s">
        <v>60</v>
      </c>
      <c r="D83" s="13" t="s">
        <v>12</v>
      </c>
      <c r="E83" s="79">
        <f>0.00294</f>
        <v>0.00294</v>
      </c>
      <c r="F83" s="80">
        <f>'Gia NC,CM'!P12</f>
        <v>1608576</v>
      </c>
      <c r="G83" s="81">
        <f>ROUND(E83*F83,5)</f>
        <v>4729.21344</v>
      </c>
    </row>
    <row r="84" spans="1:7" ht="15">
      <c r="A84" s="12" t="s">
        <v>0</v>
      </c>
      <c r="B84" s="13" t="s">
        <v>0</v>
      </c>
      <c r="C84" s="13" t="s">
        <v>13</v>
      </c>
      <c r="D84" s="13" t="s">
        <v>12</v>
      </c>
      <c r="E84" s="79">
        <f>0.00147</f>
        <v>0.00147</v>
      </c>
      <c r="F84" s="80">
        <f>'Gia NC,CM'!P18</f>
        <v>1825900</v>
      </c>
      <c r="G84" s="81">
        <f>ROUND(E84*F84,5)</f>
        <v>2684.073</v>
      </c>
    </row>
    <row r="85" spans="1:7" ht="15">
      <c r="A85" s="12" t="s">
        <v>0</v>
      </c>
      <c r="B85" s="13" t="s">
        <v>0</v>
      </c>
      <c r="C85" s="13" t="s">
        <v>182</v>
      </c>
      <c r="D85" s="13" t="s">
        <v>181</v>
      </c>
      <c r="E85" s="79">
        <f>1.5</f>
        <v>1.5</v>
      </c>
      <c r="F85" s="80"/>
      <c r="G85" s="81">
        <f>ROUND(SUM(G83:G84)*E85/100,5)</f>
        <v>111.1993</v>
      </c>
    </row>
    <row r="86" spans="1:7" ht="15">
      <c r="A86" s="12" t="s">
        <v>0</v>
      </c>
      <c r="B86" s="13" t="s">
        <v>0</v>
      </c>
      <c r="C86" s="13" t="s">
        <v>0</v>
      </c>
      <c r="D86" s="13" t="s">
        <v>0</v>
      </c>
      <c r="E86" s="79"/>
      <c r="F86" s="80"/>
      <c r="G86" s="81"/>
    </row>
    <row r="87" spans="1:7" ht="15">
      <c r="A87" s="12" t="s">
        <v>61</v>
      </c>
      <c r="B87" s="13" t="s">
        <v>62</v>
      </c>
      <c r="C87" s="13" t="s">
        <v>63</v>
      </c>
      <c r="D87" s="13" t="s">
        <v>5</v>
      </c>
      <c r="E87" s="79"/>
      <c r="F87" s="80"/>
      <c r="G87" s="81"/>
    </row>
    <row r="88" spans="1:7" ht="15">
      <c r="A88" s="12" t="s">
        <v>0</v>
      </c>
      <c r="B88" s="13" t="s">
        <v>0</v>
      </c>
      <c r="C88" s="13" t="s">
        <v>6</v>
      </c>
      <c r="D88" s="13" t="s">
        <v>0</v>
      </c>
      <c r="E88" s="79"/>
      <c r="F88" s="80"/>
      <c r="G88" s="81"/>
    </row>
    <row r="89" spans="1:7" ht="15.75">
      <c r="A89" s="12" t="s">
        <v>0</v>
      </c>
      <c r="B89" s="13" t="s">
        <v>0</v>
      </c>
      <c r="C89" s="13" t="s">
        <v>179</v>
      </c>
      <c r="D89" s="13" t="s">
        <v>0</v>
      </c>
      <c r="E89" s="79"/>
      <c r="F89" s="80"/>
      <c r="G89" s="82">
        <f>ROUND(SUM(G90:G90),5)</f>
        <v>2775.70184</v>
      </c>
    </row>
    <row r="90" spans="1:7" ht="15">
      <c r="A90" s="12" t="s">
        <v>0</v>
      </c>
      <c r="B90" s="13" t="s">
        <v>0</v>
      </c>
      <c r="C90" s="13" t="s">
        <v>9</v>
      </c>
      <c r="D90" s="13" t="s">
        <v>10</v>
      </c>
      <c r="E90" s="79">
        <f>0.0127</f>
        <v>0.0127</v>
      </c>
      <c r="F90" s="80">
        <f>'Gia NC,CM'!P8</f>
        <v>218559.2</v>
      </c>
      <c r="G90" s="81">
        <f>ROUND(E90*F90,5)</f>
        <v>2775.70184</v>
      </c>
    </row>
    <row r="91" spans="1:7" ht="15.75">
      <c r="A91" s="12" t="s">
        <v>0</v>
      </c>
      <c r="B91" s="13" t="s">
        <v>0</v>
      </c>
      <c r="C91" s="13" t="s">
        <v>178</v>
      </c>
      <c r="D91" s="13" t="s">
        <v>0</v>
      </c>
      <c r="E91" s="79"/>
      <c r="F91" s="80"/>
      <c r="G91" s="82">
        <f>ROUND(SUM(G92:G97),5)</f>
        <v>7524.48574</v>
      </c>
    </row>
    <row r="92" spans="1:7" ht="15">
      <c r="A92" s="12" t="s">
        <v>0</v>
      </c>
      <c r="B92" s="13" t="s">
        <v>0</v>
      </c>
      <c r="C92" s="13" t="s">
        <v>60</v>
      </c>
      <c r="D92" s="13" t="s">
        <v>12</v>
      </c>
      <c r="E92" s="79">
        <f>0.00294</f>
        <v>0.00294</v>
      </c>
      <c r="F92" s="80">
        <f>'Gia NC,CM'!P12</f>
        <v>1608576</v>
      </c>
      <c r="G92" s="81">
        <f>ROUND(E92*F92,5)</f>
        <v>4729.21344</v>
      </c>
    </row>
    <row r="93" spans="1:7" ht="15">
      <c r="A93" s="12" t="s">
        <v>0</v>
      </c>
      <c r="B93" s="13" t="s">
        <v>0</v>
      </c>
      <c r="C93" s="13" t="s">
        <v>13</v>
      </c>
      <c r="D93" s="13" t="s">
        <v>12</v>
      </c>
      <c r="E93" s="79">
        <f>0.00147</f>
        <v>0.00147</v>
      </c>
      <c r="F93" s="80">
        <f>'Gia NC,CM'!P18</f>
        <v>1825900</v>
      </c>
      <c r="G93" s="81">
        <f>ROUND(E93*F93,5)</f>
        <v>2684.073</v>
      </c>
    </row>
    <row r="94" spans="1:7" ht="15">
      <c r="A94" s="12" t="s">
        <v>0</v>
      </c>
      <c r="B94" s="13" t="s">
        <v>0</v>
      </c>
      <c r="C94" s="13" t="s">
        <v>182</v>
      </c>
      <c r="D94" s="13" t="s">
        <v>181</v>
      </c>
      <c r="E94" s="79">
        <f>1.5</f>
        <v>1.5</v>
      </c>
      <c r="F94" s="80"/>
      <c r="G94" s="81">
        <f>ROUND(SUM(G92:G93)*E94/100,5)</f>
        <v>111.1993</v>
      </c>
    </row>
    <row r="95" spans="1:7" ht="15">
      <c r="A95" s="12" t="s">
        <v>0</v>
      </c>
      <c r="B95" s="13" t="s">
        <v>0</v>
      </c>
      <c r="C95" s="13" t="s">
        <v>0</v>
      </c>
      <c r="D95" s="13" t="s">
        <v>0</v>
      </c>
      <c r="E95" s="79"/>
      <c r="F95" s="80"/>
      <c r="G95" s="81"/>
    </row>
    <row r="96" spans="1:7" ht="15">
      <c r="A96" s="12" t="s">
        <v>64</v>
      </c>
      <c r="B96" s="13" t="s">
        <v>65</v>
      </c>
      <c r="C96" s="13" t="s">
        <v>66</v>
      </c>
      <c r="D96" s="13" t="s">
        <v>67</v>
      </c>
      <c r="E96" s="79"/>
      <c r="F96" s="80"/>
      <c r="G96" s="81"/>
    </row>
    <row r="97" spans="1:7" ht="15">
      <c r="A97" s="12" t="s">
        <v>0</v>
      </c>
      <c r="B97" s="13" t="s">
        <v>0</v>
      </c>
      <c r="C97" s="13" t="s">
        <v>68</v>
      </c>
      <c r="D97" s="13" t="s">
        <v>0</v>
      </c>
      <c r="E97" s="79"/>
      <c r="F97" s="80"/>
      <c r="G97" s="81"/>
    </row>
    <row r="98" spans="1:7" ht="15.75">
      <c r="A98" s="12" t="s">
        <v>0</v>
      </c>
      <c r="B98" s="13" t="s">
        <v>0</v>
      </c>
      <c r="C98" s="13" t="s">
        <v>180</v>
      </c>
      <c r="D98" s="13" t="s">
        <v>0</v>
      </c>
      <c r="E98" s="79"/>
      <c r="F98" s="80"/>
      <c r="G98" s="82">
        <f>ROUND(SUM(G99:G101),5)</f>
        <v>26540.811</v>
      </c>
    </row>
    <row r="99" spans="1:7" ht="15">
      <c r="A99" s="12" t="s">
        <v>0</v>
      </c>
      <c r="B99" s="13" t="s">
        <v>0</v>
      </c>
      <c r="C99" s="13" t="s">
        <v>69</v>
      </c>
      <c r="D99" s="13" t="s">
        <v>12</v>
      </c>
      <c r="E99" s="79">
        <f>0.015</f>
        <v>0.015</v>
      </c>
      <c r="F99" s="80">
        <f>'Gia NC,CM'!P19</f>
        <v>1769387.4</v>
      </c>
      <c r="G99" s="81">
        <f>ROUND(E99*F99,5)</f>
        <v>26540.811</v>
      </c>
    </row>
    <row r="100" spans="1:7" ht="15">
      <c r="A100" s="12" t="s">
        <v>0</v>
      </c>
      <c r="B100" s="13" t="s">
        <v>0</v>
      </c>
      <c r="C100" s="13" t="s">
        <v>0</v>
      </c>
      <c r="D100" s="13" t="s">
        <v>0</v>
      </c>
      <c r="E100" s="79"/>
      <c r="F100" s="80"/>
      <c r="G100" s="81"/>
    </row>
    <row r="101" spans="1:7" ht="15">
      <c r="A101" s="12" t="s">
        <v>70</v>
      </c>
      <c r="B101" s="13" t="s">
        <v>71</v>
      </c>
      <c r="C101" s="13" t="s">
        <v>72</v>
      </c>
      <c r="D101" s="13" t="s">
        <v>67</v>
      </c>
      <c r="E101" s="79"/>
      <c r="F101" s="80"/>
      <c r="G101" s="81"/>
    </row>
    <row r="102" spans="1:7" ht="15.75">
      <c r="A102" s="12" t="s">
        <v>0</v>
      </c>
      <c r="B102" s="13" t="s">
        <v>0</v>
      </c>
      <c r="C102" s="13" t="s">
        <v>180</v>
      </c>
      <c r="D102" s="13" t="s">
        <v>0</v>
      </c>
      <c r="E102" s="79"/>
      <c r="F102" s="80"/>
      <c r="G102" s="82">
        <f>ROUND(SUM(G103:G106),5)</f>
        <v>42465.2976</v>
      </c>
    </row>
    <row r="103" spans="1:7" ht="15">
      <c r="A103" s="12" t="s">
        <v>0</v>
      </c>
      <c r="B103" s="13" t="s">
        <v>0</v>
      </c>
      <c r="C103" s="13" t="s">
        <v>69</v>
      </c>
      <c r="D103" s="13" t="s">
        <v>12</v>
      </c>
      <c r="E103" s="79">
        <f>0.006*4</f>
        <v>0.024</v>
      </c>
      <c r="F103" s="80">
        <f>'Gia NC,CM'!P19</f>
        <v>1769387.4</v>
      </c>
      <c r="G103" s="81">
        <f>ROUND(E103*F103,5)</f>
        <v>42465.2976</v>
      </c>
    </row>
    <row r="104" spans="1:7" ht="15">
      <c r="A104" s="12" t="s">
        <v>0</v>
      </c>
      <c r="B104" s="13" t="s">
        <v>0</v>
      </c>
      <c r="C104" s="13" t="s">
        <v>0</v>
      </c>
      <c r="D104" s="13" t="s">
        <v>0</v>
      </c>
      <c r="E104" s="79"/>
      <c r="F104" s="80"/>
      <c r="G104" s="81"/>
    </row>
    <row r="105" spans="1:7" ht="15">
      <c r="A105" s="12" t="s">
        <v>73</v>
      </c>
      <c r="B105" s="13" t="s">
        <v>74</v>
      </c>
      <c r="C105" s="13" t="s">
        <v>75</v>
      </c>
      <c r="D105" s="13" t="s">
        <v>76</v>
      </c>
      <c r="E105" s="79"/>
      <c r="F105" s="80"/>
      <c r="G105" s="81"/>
    </row>
    <row r="106" spans="1:7" ht="15">
      <c r="A106" s="12" t="s">
        <v>0</v>
      </c>
      <c r="B106" s="13" t="s">
        <v>0</v>
      </c>
      <c r="C106" s="13" t="s">
        <v>77</v>
      </c>
      <c r="D106" s="13" t="s">
        <v>0</v>
      </c>
      <c r="E106" s="79"/>
      <c r="F106" s="80"/>
      <c r="G106" s="81"/>
    </row>
    <row r="107" spans="1:7" ht="15.75">
      <c r="A107" s="12" t="s">
        <v>0</v>
      </c>
      <c r="B107" s="13" t="s">
        <v>0</v>
      </c>
      <c r="C107" s="13" t="s">
        <v>178</v>
      </c>
      <c r="D107" s="13" t="s">
        <v>0</v>
      </c>
      <c r="E107" s="79"/>
      <c r="F107" s="80"/>
      <c r="G107" s="82">
        <f>ROUND(SUM(G108:G111),5)</f>
        <v>53081.622</v>
      </c>
    </row>
    <row r="108" spans="1:7" ht="15">
      <c r="A108" s="12" t="s">
        <v>0</v>
      </c>
      <c r="B108" s="13" t="s">
        <v>0</v>
      </c>
      <c r="C108" s="13" t="s">
        <v>78</v>
      </c>
      <c r="D108" s="13" t="s">
        <v>12</v>
      </c>
      <c r="E108" s="79">
        <f>0.03</f>
        <v>0.03</v>
      </c>
      <c r="F108" s="80">
        <f>'Gia NC,CM'!P20</f>
        <v>1769387.4</v>
      </c>
      <c r="G108" s="81">
        <f>ROUND(E108*F108,5)</f>
        <v>53081.622</v>
      </c>
    </row>
    <row r="109" spans="1:7" ht="15">
      <c r="A109" s="12" t="s">
        <v>0</v>
      </c>
      <c r="B109" s="13" t="s">
        <v>0</v>
      </c>
      <c r="C109" s="13" t="s">
        <v>0</v>
      </c>
      <c r="D109" s="13" t="s">
        <v>0</v>
      </c>
      <c r="E109" s="79"/>
      <c r="F109" s="80"/>
      <c r="G109" s="81"/>
    </row>
    <row r="110" spans="1:7" ht="15">
      <c r="A110" s="12" t="s">
        <v>80</v>
      </c>
      <c r="B110" s="13" t="s">
        <v>81</v>
      </c>
      <c r="C110" s="13" t="s">
        <v>82</v>
      </c>
      <c r="D110" s="13" t="s">
        <v>83</v>
      </c>
      <c r="E110" s="79"/>
      <c r="F110" s="80"/>
      <c r="G110" s="81"/>
    </row>
    <row r="111" spans="1:7" ht="15">
      <c r="A111" s="12" t="s">
        <v>0</v>
      </c>
      <c r="B111" s="13" t="s">
        <v>0</v>
      </c>
      <c r="C111" s="13" t="s">
        <v>84</v>
      </c>
      <c r="D111" s="13" t="s">
        <v>0</v>
      </c>
      <c r="E111" s="79"/>
      <c r="F111" s="80"/>
      <c r="G111" s="81"/>
    </row>
    <row r="112" spans="1:7" ht="15.75">
      <c r="A112" s="12" t="s">
        <v>0</v>
      </c>
      <c r="B112" s="13" t="s">
        <v>0</v>
      </c>
      <c r="C112" s="13" t="s">
        <v>179</v>
      </c>
      <c r="D112" s="13" t="s">
        <v>0</v>
      </c>
      <c r="E112" s="79"/>
      <c r="F112" s="80"/>
      <c r="G112" s="82">
        <f>ROUND(SUM(G113:G116),5)</f>
        <v>24041.512</v>
      </c>
    </row>
    <row r="113" spans="1:7" ht="15">
      <c r="A113" s="12" t="s">
        <v>0</v>
      </c>
      <c r="B113" s="13" t="s">
        <v>0</v>
      </c>
      <c r="C113" s="13" t="s">
        <v>9</v>
      </c>
      <c r="D113" s="13" t="s">
        <v>10</v>
      </c>
      <c r="E113" s="79">
        <f>0.11</f>
        <v>0.11</v>
      </c>
      <c r="F113" s="80">
        <f>'Gia NC,CM'!P8</f>
        <v>218559.2</v>
      </c>
      <c r="G113" s="81">
        <f>ROUND(E113*F113,5)</f>
        <v>24041.512</v>
      </c>
    </row>
    <row r="114" spans="1:7" ht="15">
      <c r="A114" s="12" t="s">
        <v>0</v>
      </c>
      <c r="B114" s="13" t="s">
        <v>0</v>
      </c>
      <c r="C114" s="13" t="s">
        <v>0</v>
      </c>
      <c r="D114" s="13" t="s">
        <v>0</v>
      </c>
      <c r="E114" s="79"/>
      <c r="F114" s="80"/>
      <c r="G114" s="81"/>
    </row>
    <row r="115" spans="1:7" ht="15">
      <c r="A115" s="12" t="s">
        <v>85</v>
      </c>
      <c r="B115" s="13" t="s">
        <v>86</v>
      </c>
      <c r="C115" s="13" t="s">
        <v>82</v>
      </c>
      <c r="D115" s="13" t="s">
        <v>83</v>
      </c>
      <c r="E115" s="79"/>
      <c r="F115" s="80"/>
      <c r="G115" s="81"/>
    </row>
    <row r="116" spans="1:7" ht="15">
      <c r="A116" s="12" t="s">
        <v>0</v>
      </c>
      <c r="B116" s="13" t="s">
        <v>0</v>
      </c>
      <c r="C116" s="13" t="s">
        <v>87</v>
      </c>
      <c r="D116" s="13" t="s">
        <v>0</v>
      </c>
      <c r="E116" s="79"/>
      <c r="F116" s="80"/>
      <c r="G116" s="81"/>
    </row>
    <row r="117" spans="1:7" ht="15.75">
      <c r="A117" s="12" t="s">
        <v>0</v>
      </c>
      <c r="B117" s="13" t="s">
        <v>0</v>
      </c>
      <c r="C117" s="13" t="s">
        <v>179</v>
      </c>
      <c r="D117" s="13" t="s">
        <v>0</v>
      </c>
      <c r="E117" s="79"/>
      <c r="F117" s="80"/>
      <c r="G117" s="82">
        <f>ROUND(SUM(G118:G123),5)</f>
        <v>45897.432</v>
      </c>
    </row>
    <row r="118" spans="1:7" ht="15">
      <c r="A118" s="12" t="s">
        <v>0</v>
      </c>
      <c r="B118" s="13" t="s">
        <v>0</v>
      </c>
      <c r="C118" s="13" t="s">
        <v>9</v>
      </c>
      <c r="D118" s="13" t="s">
        <v>10</v>
      </c>
      <c r="E118" s="79">
        <f>0.21</f>
        <v>0.21</v>
      </c>
      <c r="F118" s="80">
        <f>'Gia NC,CM'!P8</f>
        <v>218559.2</v>
      </c>
      <c r="G118" s="81">
        <f>ROUND(E118*F118,5)</f>
        <v>45897.432</v>
      </c>
    </row>
    <row r="119" spans="1:7" ht="15">
      <c r="A119" s="12" t="s">
        <v>0</v>
      </c>
      <c r="B119" s="13" t="s">
        <v>0</v>
      </c>
      <c r="C119" s="13" t="s">
        <v>0</v>
      </c>
      <c r="D119" s="13" t="s">
        <v>0</v>
      </c>
      <c r="E119" s="79"/>
      <c r="F119" s="80"/>
      <c r="G119" s="81"/>
    </row>
    <row r="120" spans="1:7" ht="15">
      <c r="A120" s="12" t="s">
        <v>0</v>
      </c>
      <c r="B120" s="13" t="s">
        <v>0</v>
      </c>
      <c r="C120" s="13" t="s">
        <v>0</v>
      </c>
      <c r="D120" s="13" t="s">
        <v>0</v>
      </c>
      <c r="E120" s="79"/>
      <c r="F120" s="80"/>
      <c r="G120" s="81"/>
    </row>
    <row r="121" spans="1:7" ht="15">
      <c r="A121" s="12" t="s">
        <v>0</v>
      </c>
      <c r="B121" s="13" t="s">
        <v>0</v>
      </c>
      <c r="C121" s="13" t="s">
        <v>0</v>
      </c>
      <c r="D121" s="13" t="s">
        <v>0</v>
      </c>
      <c r="E121" s="79"/>
      <c r="F121" s="80"/>
      <c r="G121" s="81"/>
    </row>
    <row r="122" spans="1:7" ht="15">
      <c r="A122" s="12" t="s">
        <v>88</v>
      </c>
      <c r="B122" s="13" t="s">
        <v>90</v>
      </c>
      <c r="C122" s="13" t="s">
        <v>75</v>
      </c>
      <c r="D122" s="13" t="s">
        <v>76</v>
      </c>
      <c r="E122" s="79"/>
      <c r="F122" s="80"/>
      <c r="G122" s="81"/>
    </row>
    <row r="123" spans="1:7" ht="15">
      <c r="A123" s="12" t="s">
        <v>0</v>
      </c>
      <c r="B123" s="13" t="s">
        <v>0</v>
      </c>
      <c r="C123" s="13" t="s">
        <v>91</v>
      </c>
      <c r="D123" s="13" t="s">
        <v>0</v>
      </c>
      <c r="E123" s="79"/>
      <c r="F123" s="80"/>
      <c r="G123" s="81"/>
    </row>
    <row r="124" spans="1:7" ht="15.75">
      <c r="A124" s="12" t="s">
        <v>0</v>
      </c>
      <c r="B124" s="13" t="s">
        <v>0</v>
      </c>
      <c r="C124" s="13" t="s">
        <v>178</v>
      </c>
      <c r="D124" s="13" t="s">
        <v>0</v>
      </c>
      <c r="E124" s="79"/>
      <c r="F124" s="80"/>
      <c r="G124" s="82">
        <f>ROUND(SUM(G125:G127),5)</f>
        <v>37157.1354</v>
      </c>
    </row>
    <row r="125" spans="1:7" ht="15">
      <c r="A125" s="12" t="s">
        <v>0</v>
      </c>
      <c r="B125" s="13" t="s">
        <v>0</v>
      </c>
      <c r="C125" s="13" t="s">
        <v>78</v>
      </c>
      <c r="D125" s="13" t="s">
        <v>12</v>
      </c>
      <c r="E125" s="79">
        <f>0.021</f>
        <v>0.021</v>
      </c>
      <c r="F125" s="80">
        <f>'Gia NC,CM'!P20</f>
        <v>1769387.4</v>
      </c>
      <c r="G125" s="81">
        <f>ROUND(E125*F125,5)</f>
        <v>37157.1354</v>
      </c>
    </row>
    <row r="126" spans="1:7" ht="15">
      <c r="A126" s="12" t="s">
        <v>0</v>
      </c>
      <c r="B126" s="13" t="s">
        <v>0</v>
      </c>
      <c r="C126" s="13" t="s">
        <v>0</v>
      </c>
      <c r="D126" s="13" t="s">
        <v>0</v>
      </c>
      <c r="E126" s="79"/>
      <c r="F126" s="80"/>
      <c r="G126" s="81"/>
    </row>
    <row r="127" spans="1:7" ht="15">
      <c r="A127" s="12" t="s">
        <v>89</v>
      </c>
      <c r="B127" s="13" t="s">
        <v>93</v>
      </c>
      <c r="C127" s="13" t="s">
        <v>75</v>
      </c>
      <c r="D127" s="13" t="s">
        <v>76</v>
      </c>
      <c r="E127" s="79"/>
      <c r="F127" s="80"/>
      <c r="G127" s="81"/>
    </row>
    <row r="128" spans="1:7" ht="15.75">
      <c r="A128" s="12" t="s">
        <v>0</v>
      </c>
      <c r="B128" s="13" t="s">
        <v>0</v>
      </c>
      <c r="C128" s="13" t="s">
        <v>178</v>
      </c>
      <c r="D128" s="13" t="s">
        <v>0</v>
      </c>
      <c r="E128" s="79"/>
      <c r="F128" s="80"/>
      <c r="G128" s="82">
        <f>ROUND(SUM(G129:G130),5)</f>
        <v>26540.811</v>
      </c>
    </row>
    <row r="129" spans="1:7" ht="15">
      <c r="A129" s="12" t="s">
        <v>0</v>
      </c>
      <c r="B129" s="13" t="s">
        <v>0</v>
      </c>
      <c r="C129" s="13" t="s">
        <v>78</v>
      </c>
      <c r="D129" s="13" t="s">
        <v>12</v>
      </c>
      <c r="E129" s="79">
        <f>0.015</f>
        <v>0.015</v>
      </c>
      <c r="F129" s="80">
        <f>'Gia NC,CM'!P20</f>
        <v>1769387.4</v>
      </c>
      <c r="G129" s="81">
        <f>ROUND(E129*F129,5)</f>
        <v>26540.811</v>
      </c>
    </row>
    <row r="130" spans="1:7" ht="15.75" thickBot="1">
      <c r="A130" s="16" t="s">
        <v>0</v>
      </c>
      <c r="B130" s="17" t="s">
        <v>0</v>
      </c>
      <c r="C130" s="17" t="s">
        <v>0</v>
      </c>
      <c r="D130" s="17" t="s">
        <v>0</v>
      </c>
      <c r="E130" s="83"/>
      <c r="F130" s="84"/>
      <c r="G130" s="85"/>
    </row>
  </sheetData>
  <sheetProtection/>
  <mergeCells count="4">
    <mergeCell ref="A1:G1"/>
    <mergeCell ref="A3:G3"/>
    <mergeCell ref="A4:G4"/>
    <mergeCell ref="A5:G5"/>
  </mergeCells>
  <printOptions horizontalCentered="1"/>
  <pageMargins left="0.5" right="0.2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showZeros="0" zoomScalePageLayoutView="0" workbookViewId="0" topLeftCell="A1">
      <selection activeCell="A1" sqref="A1:P1"/>
    </sheetView>
  </sheetViews>
  <sheetFormatPr defaultColWidth="8.796875" defaultRowHeight="15"/>
  <cols>
    <col min="1" max="1" width="7.59765625" style="95" customWidth="1"/>
    <col min="2" max="2" width="19.59765625" style="95" customWidth="1"/>
    <col min="3" max="3" width="4.09765625" style="95" customWidth="1"/>
    <col min="4" max="4" width="4.09765625" style="96" customWidth="1"/>
    <col min="5" max="5" width="4.59765625" style="97" customWidth="1"/>
    <col min="6" max="7" width="4.09765625" style="97" customWidth="1"/>
    <col min="8" max="8" width="11.09765625" style="95" customWidth="1"/>
    <col min="9" max="9" width="11.59765625" style="95" customWidth="1"/>
    <col min="10" max="10" width="9.09765625" style="98" customWidth="1"/>
    <col min="11" max="15" width="8.59765625" style="98" customWidth="1"/>
    <col min="16" max="16" width="9.09765625" style="98" customWidth="1"/>
    <col min="17" max="16384" width="9" style="95" customWidth="1"/>
  </cols>
  <sheetData>
    <row r="1" spans="1:16" ht="22.5" customHeight="1">
      <c r="A1" s="237" t="s">
        <v>261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2.75">
      <c r="A2" s="117"/>
      <c r="B2" s="117"/>
      <c r="C2" s="117"/>
      <c r="D2" s="118"/>
      <c r="E2" s="119"/>
      <c r="F2" s="119"/>
      <c r="G2" s="119"/>
      <c r="H2" s="117"/>
      <c r="I2" s="117"/>
      <c r="J2" s="120"/>
      <c r="K2" s="120"/>
      <c r="L2" s="120"/>
      <c r="M2" s="120"/>
      <c r="N2" s="120"/>
      <c r="O2" s="120"/>
      <c r="P2" s="120"/>
    </row>
    <row r="3" spans="1:16" s="38" customFormat="1" ht="15" customHeight="1">
      <c r="A3" s="229" t="s">
        <v>237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s="38" customFormat="1" ht="15" customHeight="1">
      <c r="A4" s="229" t="s">
        <v>238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16" s="38" customFormat="1" ht="16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ht="13.5" thickBot="1">
      <c r="A6" s="117"/>
      <c r="B6" s="117"/>
      <c r="C6" s="117"/>
      <c r="D6" s="118"/>
      <c r="E6" s="119"/>
      <c r="F6" s="119"/>
      <c r="G6" s="119"/>
      <c r="H6" s="117"/>
      <c r="I6" s="117"/>
      <c r="J6" s="120"/>
      <c r="K6" s="120"/>
      <c r="L6" s="120"/>
      <c r="M6" s="120"/>
      <c r="N6" s="120"/>
      <c r="O6" s="120"/>
      <c r="P6" s="120"/>
    </row>
    <row r="7" spans="1:16" ht="45" customHeight="1">
      <c r="A7" s="121" t="s">
        <v>262</v>
      </c>
      <c r="B7" s="122" t="s">
        <v>263</v>
      </c>
      <c r="C7" s="122" t="s">
        <v>264</v>
      </c>
      <c r="D7" s="123" t="s">
        <v>265</v>
      </c>
      <c r="E7" s="124" t="s">
        <v>266</v>
      </c>
      <c r="F7" s="124" t="s">
        <v>267</v>
      </c>
      <c r="G7" s="124" t="s">
        <v>268</v>
      </c>
      <c r="H7" s="122" t="s">
        <v>269</v>
      </c>
      <c r="I7" s="122" t="s">
        <v>270</v>
      </c>
      <c r="J7" s="125" t="s">
        <v>271</v>
      </c>
      <c r="K7" s="125" t="s">
        <v>272</v>
      </c>
      <c r="L7" s="125" t="s">
        <v>273</v>
      </c>
      <c r="M7" s="125" t="s">
        <v>274</v>
      </c>
      <c r="N7" s="125" t="s">
        <v>275</v>
      </c>
      <c r="O7" s="125" t="s">
        <v>276</v>
      </c>
      <c r="P7" s="126" t="s">
        <v>277</v>
      </c>
    </row>
    <row r="8" spans="1:16" ht="12.75">
      <c r="A8" s="111" t="s">
        <v>0</v>
      </c>
      <c r="B8" s="112" t="s">
        <v>9</v>
      </c>
      <c r="C8" s="112" t="s">
        <v>10</v>
      </c>
      <c r="D8" s="113">
        <v>0</v>
      </c>
      <c r="E8" s="114">
        <v>0</v>
      </c>
      <c r="F8" s="114">
        <v>0</v>
      </c>
      <c r="G8" s="114">
        <v>0</v>
      </c>
      <c r="H8" s="112" t="s">
        <v>0</v>
      </c>
      <c r="I8" s="112" t="s">
        <v>207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6">
        <f>ROUND(218559.2,1)</f>
        <v>218559.2</v>
      </c>
    </row>
    <row r="9" spans="1:16" ht="12.75">
      <c r="A9" s="99" t="s">
        <v>0</v>
      </c>
      <c r="B9" s="100" t="s">
        <v>20</v>
      </c>
      <c r="C9" s="100" t="s">
        <v>10</v>
      </c>
      <c r="D9" s="101">
        <v>0</v>
      </c>
      <c r="E9" s="102">
        <v>0</v>
      </c>
      <c r="F9" s="102">
        <v>0</v>
      </c>
      <c r="G9" s="102">
        <v>0</v>
      </c>
      <c r="H9" s="100" t="s">
        <v>0</v>
      </c>
      <c r="I9" s="100" t="s">
        <v>206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4">
        <f>ROUND(252200,1)</f>
        <v>252200</v>
      </c>
    </row>
    <row r="10" spans="1:16" ht="12.75">
      <c r="A10" s="99" t="s">
        <v>0</v>
      </c>
      <c r="B10" s="100" t="s">
        <v>27</v>
      </c>
      <c r="C10" s="100" t="s">
        <v>10</v>
      </c>
      <c r="D10" s="101">
        <v>0</v>
      </c>
      <c r="E10" s="102">
        <v>0</v>
      </c>
      <c r="F10" s="102">
        <v>0</v>
      </c>
      <c r="G10" s="102">
        <v>0</v>
      </c>
      <c r="H10" s="100" t="s">
        <v>0</v>
      </c>
      <c r="I10" s="100" t="s">
        <v>205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4">
        <f>ROUND(273769.7,1)</f>
        <v>273769.7</v>
      </c>
    </row>
    <row r="11" spans="1:16" ht="12.75">
      <c r="A11" s="99" t="s">
        <v>204</v>
      </c>
      <c r="B11" s="100" t="s">
        <v>28</v>
      </c>
      <c r="C11" s="100" t="s">
        <v>12</v>
      </c>
      <c r="D11" s="101">
        <v>200</v>
      </c>
      <c r="E11" s="102">
        <v>21</v>
      </c>
      <c r="F11" s="102">
        <v>4.8</v>
      </c>
      <c r="G11" s="102">
        <v>5</v>
      </c>
      <c r="H11" s="100" t="s">
        <v>203</v>
      </c>
      <c r="I11" s="100" t="s">
        <v>189</v>
      </c>
      <c r="J11" s="103">
        <v>16000</v>
      </c>
      <c r="K11" s="103">
        <f>J11*E11/D11*10</f>
        <v>16800</v>
      </c>
      <c r="L11" s="103">
        <f aca="true" t="shared" si="0" ref="L11:L20">J11*F11/D11*10</f>
        <v>3840</v>
      </c>
      <c r="M11" s="103">
        <f>48*1864.4*1.05</f>
        <v>93965.76000000001</v>
      </c>
      <c r="N11" s="103">
        <f>(1*290812.5)*1</f>
        <v>290812.5</v>
      </c>
      <c r="O11" s="103">
        <f aca="true" t="shared" si="1" ref="O11:O20">J11*G11/D11*10</f>
        <v>4000</v>
      </c>
      <c r="P11" s="104">
        <f aca="true" t="shared" si="2" ref="P11:P20">ROUND(K11+L11+M11+N11+O11,1)</f>
        <v>409418.3</v>
      </c>
    </row>
    <row r="12" spans="1:16" ht="12.75">
      <c r="A12" s="99" t="s">
        <v>202</v>
      </c>
      <c r="B12" s="100" t="s">
        <v>60</v>
      </c>
      <c r="C12" s="100" t="s">
        <v>12</v>
      </c>
      <c r="D12" s="101">
        <v>270</v>
      </c>
      <c r="E12" s="102">
        <v>15</v>
      </c>
      <c r="F12" s="102">
        <v>2.9</v>
      </c>
      <c r="G12" s="102">
        <v>5</v>
      </c>
      <c r="H12" s="100" t="s">
        <v>201</v>
      </c>
      <c r="I12" s="100" t="s">
        <v>189</v>
      </c>
      <c r="J12" s="103">
        <v>601429</v>
      </c>
      <c r="K12" s="103">
        <f>J12*(1-0.1)*E12/D12*10</f>
        <v>300714.5</v>
      </c>
      <c r="L12" s="103">
        <f t="shared" si="0"/>
        <v>64597.92962962962</v>
      </c>
      <c r="M12" s="103">
        <f>47*17374*1.03</f>
        <v>841075.34</v>
      </c>
      <c r="N12" s="103">
        <f>(1*290812.5)*1</f>
        <v>290812.5</v>
      </c>
      <c r="O12" s="103">
        <f t="shared" si="1"/>
        <v>111375.74074074074</v>
      </c>
      <c r="P12" s="104">
        <f t="shared" si="2"/>
        <v>1608576</v>
      </c>
    </row>
    <row r="13" spans="1:16" ht="12.75">
      <c r="A13" s="99" t="s">
        <v>200</v>
      </c>
      <c r="B13" s="100" t="s">
        <v>11</v>
      </c>
      <c r="C13" s="100" t="s">
        <v>12</v>
      </c>
      <c r="D13" s="101">
        <v>270</v>
      </c>
      <c r="E13" s="102">
        <v>15</v>
      </c>
      <c r="F13" s="102">
        <v>2.9</v>
      </c>
      <c r="G13" s="102">
        <v>5</v>
      </c>
      <c r="H13" s="100" t="s">
        <v>199</v>
      </c>
      <c r="I13" s="100" t="s">
        <v>189</v>
      </c>
      <c r="J13" s="103">
        <v>365850</v>
      </c>
      <c r="K13" s="103">
        <f>J13*(1-0.1)*E13/D13*10</f>
        <v>182925</v>
      </c>
      <c r="L13" s="103">
        <f t="shared" si="0"/>
        <v>39295</v>
      </c>
      <c r="M13" s="103">
        <f>24*17374*1.03</f>
        <v>429485.28</v>
      </c>
      <c r="N13" s="103">
        <f>(1*290812.5)*1</f>
        <v>290812.5</v>
      </c>
      <c r="O13" s="103">
        <f t="shared" si="1"/>
        <v>67750</v>
      </c>
      <c r="P13" s="104">
        <f t="shared" si="2"/>
        <v>1010267.8</v>
      </c>
    </row>
    <row r="14" spans="1:16" ht="12.75">
      <c r="A14" s="99" t="s">
        <v>198</v>
      </c>
      <c r="B14" s="100" t="s">
        <v>43</v>
      </c>
      <c r="C14" s="100" t="s">
        <v>12</v>
      </c>
      <c r="D14" s="101">
        <v>280</v>
      </c>
      <c r="E14" s="102">
        <v>17</v>
      </c>
      <c r="F14" s="102">
        <v>5.8</v>
      </c>
      <c r="G14" s="102">
        <v>5</v>
      </c>
      <c r="H14" s="100" t="s">
        <v>196</v>
      </c>
      <c r="I14" s="100" t="s">
        <v>189</v>
      </c>
      <c r="J14" s="103">
        <v>1863636</v>
      </c>
      <c r="K14" s="103">
        <f>J14*(1-0.1)*E14/D14*10</f>
        <v>1018343.9571428571</v>
      </c>
      <c r="L14" s="103">
        <f t="shared" si="0"/>
        <v>386038.88571428566</v>
      </c>
      <c r="M14" s="103">
        <f>83*17374*1.03</f>
        <v>1485303.26</v>
      </c>
      <c r="N14" s="103">
        <f>(1*290812.5)*1</f>
        <v>290812.5</v>
      </c>
      <c r="O14" s="103">
        <f t="shared" si="1"/>
        <v>332792.14285714284</v>
      </c>
      <c r="P14" s="104">
        <f t="shared" si="2"/>
        <v>3513290.7</v>
      </c>
    </row>
    <row r="15" spans="1:16" ht="12.75">
      <c r="A15" s="99" t="s">
        <v>197</v>
      </c>
      <c r="B15" s="100" t="s">
        <v>52</v>
      </c>
      <c r="C15" s="100" t="s">
        <v>12</v>
      </c>
      <c r="D15" s="101">
        <v>280</v>
      </c>
      <c r="E15" s="102">
        <v>17</v>
      </c>
      <c r="F15" s="102">
        <v>5.8</v>
      </c>
      <c r="G15" s="102">
        <v>5</v>
      </c>
      <c r="H15" s="100" t="s">
        <v>196</v>
      </c>
      <c r="I15" s="100" t="s">
        <v>189</v>
      </c>
      <c r="J15" s="103">
        <v>2150000</v>
      </c>
      <c r="K15" s="103">
        <f>J15*(1-0.1)*E15/D15*10</f>
        <v>1174821.4285714286</v>
      </c>
      <c r="L15" s="103">
        <f t="shared" si="0"/>
        <v>445357.14285714284</v>
      </c>
      <c r="M15" s="103">
        <f>83*17374*1.03</f>
        <v>1485303.26</v>
      </c>
      <c r="N15" s="103">
        <f>(1*290812.5)*1</f>
        <v>290812.5</v>
      </c>
      <c r="O15" s="103">
        <f t="shared" si="1"/>
        <v>383928.5714285715</v>
      </c>
      <c r="P15" s="104">
        <f t="shared" si="2"/>
        <v>3780222.9</v>
      </c>
    </row>
    <row r="16" spans="1:16" ht="12.75">
      <c r="A16" s="99" t="s">
        <v>195</v>
      </c>
      <c r="B16" s="100" t="s">
        <v>36</v>
      </c>
      <c r="C16" s="100" t="s">
        <v>12</v>
      </c>
      <c r="D16" s="101">
        <v>150</v>
      </c>
      <c r="E16" s="102">
        <v>25</v>
      </c>
      <c r="F16" s="102">
        <v>8.8</v>
      </c>
      <c r="G16" s="102">
        <v>4</v>
      </c>
      <c r="H16" s="100" t="s">
        <v>194</v>
      </c>
      <c r="I16" s="100" t="s">
        <v>191</v>
      </c>
      <c r="J16" s="103">
        <v>6420</v>
      </c>
      <c r="K16" s="103">
        <f>J16*E16/D16*10</f>
        <v>10700</v>
      </c>
      <c r="L16" s="103">
        <f t="shared" si="0"/>
        <v>3766.4000000000005</v>
      </c>
      <c r="M16" s="103">
        <f>5*1864.4*1.05</f>
        <v>9788.1</v>
      </c>
      <c r="N16" s="103">
        <f>(1*244987.5)*1</f>
        <v>244987.5</v>
      </c>
      <c r="O16" s="103">
        <f t="shared" si="1"/>
        <v>1712</v>
      </c>
      <c r="P16" s="104">
        <f t="shared" si="2"/>
        <v>270954</v>
      </c>
    </row>
    <row r="17" spans="1:16" ht="12.75">
      <c r="A17" s="99" t="s">
        <v>193</v>
      </c>
      <c r="B17" s="100" t="s">
        <v>37</v>
      </c>
      <c r="C17" s="100" t="s">
        <v>12</v>
      </c>
      <c r="D17" s="101">
        <v>150</v>
      </c>
      <c r="E17" s="102">
        <v>20</v>
      </c>
      <c r="F17" s="102">
        <v>8.8</v>
      </c>
      <c r="G17" s="102">
        <v>4</v>
      </c>
      <c r="H17" s="100" t="s">
        <v>192</v>
      </c>
      <c r="I17" s="100" t="s">
        <v>191</v>
      </c>
      <c r="J17" s="103">
        <v>7395</v>
      </c>
      <c r="K17" s="103">
        <f>J17*E17/D17*10</f>
        <v>9860</v>
      </c>
      <c r="L17" s="103">
        <f t="shared" si="0"/>
        <v>4338.400000000001</v>
      </c>
      <c r="M17" s="103">
        <f>7*1864.4*1.05</f>
        <v>13703.340000000002</v>
      </c>
      <c r="N17" s="103">
        <f>(1*244987.5)*1</f>
        <v>244987.5</v>
      </c>
      <c r="O17" s="103">
        <f t="shared" si="1"/>
        <v>1972</v>
      </c>
      <c r="P17" s="104">
        <f t="shared" si="2"/>
        <v>274861.2</v>
      </c>
    </row>
    <row r="18" spans="1:16" ht="12.75">
      <c r="A18" s="99" t="s">
        <v>190</v>
      </c>
      <c r="B18" s="100" t="s">
        <v>13</v>
      </c>
      <c r="C18" s="100" t="s">
        <v>12</v>
      </c>
      <c r="D18" s="101">
        <v>280</v>
      </c>
      <c r="E18" s="102">
        <v>14</v>
      </c>
      <c r="F18" s="102">
        <v>5.8</v>
      </c>
      <c r="G18" s="102">
        <v>5</v>
      </c>
      <c r="H18" s="100" t="s">
        <v>187</v>
      </c>
      <c r="I18" s="100" t="s">
        <v>189</v>
      </c>
      <c r="J18" s="103">
        <v>851855</v>
      </c>
      <c r="K18" s="103">
        <f>J18*(1-0.1)*E18/D18*10</f>
        <v>383334.75</v>
      </c>
      <c r="L18" s="103">
        <f t="shared" si="0"/>
        <v>176455.67857142858</v>
      </c>
      <c r="M18" s="103">
        <f>46*17374*1.03</f>
        <v>823180.12</v>
      </c>
      <c r="N18" s="103">
        <f>(1*290812.5)*1</f>
        <v>290812.5</v>
      </c>
      <c r="O18" s="103">
        <f t="shared" si="1"/>
        <v>152116.9642857143</v>
      </c>
      <c r="P18" s="104">
        <f t="shared" si="2"/>
        <v>1825900</v>
      </c>
    </row>
    <row r="19" spans="1:16" ht="12.75">
      <c r="A19" s="99" t="s">
        <v>188</v>
      </c>
      <c r="B19" s="100" t="s">
        <v>69</v>
      </c>
      <c r="C19" s="100" t="s">
        <v>12</v>
      </c>
      <c r="D19" s="101">
        <v>260</v>
      </c>
      <c r="E19" s="102">
        <v>17</v>
      </c>
      <c r="F19" s="102">
        <v>7.3</v>
      </c>
      <c r="G19" s="102">
        <v>6</v>
      </c>
      <c r="H19" s="100" t="s">
        <v>187</v>
      </c>
      <c r="I19" s="100" t="s">
        <v>186</v>
      </c>
      <c r="J19" s="103">
        <v>616643</v>
      </c>
      <c r="K19" s="103">
        <f>J19*(1-0.1)*E19/D19*10</f>
        <v>362870.68846153846</v>
      </c>
      <c r="L19" s="103">
        <f t="shared" si="0"/>
        <v>173134.38076923075</v>
      </c>
      <c r="M19" s="103">
        <f>46*17374*1.03</f>
        <v>823180.12</v>
      </c>
      <c r="N19" s="103">
        <f>(1*267900)*1</f>
        <v>267900</v>
      </c>
      <c r="O19" s="103">
        <f t="shared" si="1"/>
        <v>142302.23076923078</v>
      </c>
      <c r="P19" s="104">
        <f t="shared" si="2"/>
        <v>1769387.4</v>
      </c>
    </row>
    <row r="20" spans="1:16" ht="13.5" thickBot="1">
      <c r="A20" s="105" t="s">
        <v>188</v>
      </c>
      <c r="B20" s="106" t="s">
        <v>78</v>
      </c>
      <c r="C20" s="106" t="s">
        <v>12</v>
      </c>
      <c r="D20" s="107">
        <v>260</v>
      </c>
      <c r="E20" s="108">
        <v>17</v>
      </c>
      <c r="F20" s="108">
        <v>7.3</v>
      </c>
      <c r="G20" s="108">
        <v>6</v>
      </c>
      <c r="H20" s="106" t="s">
        <v>187</v>
      </c>
      <c r="I20" s="106" t="s">
        <v>186</v>
      </c>
      <c r="J20" s="109">
        <v>616643</v>
      </c>
      <c r="K20" s="109">
        <f>J20*(1-0.1)*E20/D20*10</f>
        <v>362870.68846153846</v>
      </c>
      <c r="L20" s="109">
        <f t="shared" si="0"/>
        <v>173134.38076923075</v>
      </c>
      <c r="M20" s="109">
        <f>46*17374*1.03</f>
        <v>823180.12</v>
      </c>
      <c r="N20" s="109">
        <f>(1*267900)*1</f>
        <v>267900</v>
      </c>
      <c r="O20" s="109">
        <f t="shared" si="1"/>
        <v>142302.23076923078</v>
      </c>
      <c r="P20" s="110">
        <f t="shared" si="2"/>
        <v>1769387.4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2" right="0.2" top="0.7" bottom="0.7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showZeros="0" zoomScalePageLayoutView="0" workbookViewId="0" topLeftCell="A7">
      <selection activeCell="H10" sqref="H10"/>
    </sheetView>
  </sheetViews>
  <sheetFormatPr defaultColWidth="8.796875" defaultRowHeight="15"/>
  <cols>
    <col min="1" max="1" width="3.59765625" style="40" customWidth="1"/>
    <col min="2" max="2" width="31.5" style="40" bestFit="1" customWidth="1"/>
    <col min="3" max="3" width="4.09765625" style="40" customWidth="1"/>
    <col min="4" max="4" width="10.5" style="40" customWidth="1"/>
    <col min="5" max="5" width="9.69921875" style="40" customWidth="1"/>
    <col min="6" max="9" width="3.5" style="133" customWidth="1"/>
    <col min="10" max="10" width="7" style="41" customWidth="1"/>
    <col min="11" max="13" width="4.3984375" style="136" customWidth="1"/>
    <col min="14" max="14" width="9.3984375" style="41" customWidth="1"/>
    <col min="15" max="15" width="8" style="41" customWidth="1"/>
    <col min="16" max="17" width="9.8984375" style="41" bestFit="1" customWidth="1"/>
    <col min="18" max="18" width="12" style="40" customWidth="1"/>
    <col min="19" max="16384" width="9" style="40" customWidth="1"/>
  </cols>
  <sheetData>
    <row r="1" spans="1:17" ht="21" customHeight="1">
      <c r="A1" s="237" t="s">
        <v>278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4.25">
      <c r="A2" s="43"/>
      <c r="B2" s="43"/>
      <c r="C2" s="43"/>
      <c r="D2" s="43"/>
      <c r="E2" s="43"/>
      <c r="F2" s="146"/>
      <c r="G2" s="146"/>
      <c r="H2" s="146"/>
      <c r="I2" s="146"/>
      <c r="J2" s="44"/>
      <c r="K2" s="147"/>
      <c r="L2" s="147"/>
      <c r="M2" s="147"/>
      <c r="N2" s="44"/>
      <c r="O2" s="44"/>
      <c r="P2" s="44"/>
      <c r="Q2" s="44"/>
    </row>
    <row r="3" spans="1:17" s="38" customFormat="1" ht="16.5" customHeight="1">
      <c r="A3" s="229" t="s">
        <v>237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s="38" customFormat="1" ht="16.5" customHeight="1">
      <c r="A4" s="229" t="s">
        <v>238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</row>
    <row r="5" spans="1:17" s="38" customFormat="1" ht="16.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5" thickBot="1">
      <c r="A6" s="43"/>
      <c r="B6" s="43"/>
      <c r="C6" s="43"/>
      <c r="D6" s="43"/>
      <c r="E6" s="43"/>
      <c r="F6" s="146"/>
      <c r="G6" s="146"/>
      <c r="H6" s="146"/>
      <c r="I6" s="146"/>
      <c r="J6" s="44"/>
      <c r="K6" s="147"/>
      <c r="L6" s="147"/>
      <c r="M6" s="147"/>
      <c r="N6" s="44"/>
      <c r="O6" s="44"/>
      <c r="P6" s="44"/>
      <c r="Q6" s="44"/>
    </row>
    <row r="7" spans="1:18" ht="45" customHeight="1">
      <c r="A7" s="151" t="s">
        <v>120</v>
      </c>
      <c r="B7" s="152" t="s">
        <v>279</v>
      </c>
      <c r="C7" s="153" t="s">
        <v>251</v>
      </c>
      <c r="D7" s="152" t="s">
        <v>280</v>
      </c>
      <c r="E7" s="152" t="s">
        <v>281</v>
      </c>
      <c r="F7" s="148" t="s">
        <v>282</v>
      </c>
      <c r="G7" s="148" t="s">
        <v>283</v>
      </c>
      <c r="H7" s="148" t="s">
        <v>284</v>
      </c>
      <c r="I7" s="148" t="s">
        <v>285</v>
      </c>
      <c r="J7" s="149" t="s">
        <v>286</v>
      </c>
      <c r="K7" s="150" t="s">
        <v>287</v>
      </c>
      <c r="L7" s="150" t="s">
        <v>288</v>
      </c>
      <c r="M7" s="150" t="s">
        <v>289</v>
      </c>
      <c r="N7" s="154" t="s">
        <v>290</v>
      </c>
      <c r="O7" s="154" t="s">
        <v>291</v>
      </c>
      <c r="P7" s="155" t="s">
        <v>292</v>
      </c>
      <c r="Q7" s="156" t="s">
        <v>293</v>
      </c>
      <c r="R7" s="40" t="s">
        <v>185</v>
      </c>
    </row>
    <row r="8" spans="1:18" ht="14.25">
      <c r="A8" s="139" t="s">
        <v>177</v>
      </c>
      <c r="B8" s="140" t="s">
        <v>230</v>
      </c>
      <c r="C8" s="140" t="s">
        <v>8</v>
      </c>
      <c r="D8" s="140" t="s">
        <v>0</v>
      </c>
      <c r="E8" s="140" t="s">
        <v>0</v>
      </c>
      <c r="F8" s="141" t="s">
        <v>0</v>
      </c>
      <c r="G8" s="141" t="s">
        <v>0</v>
      </c>
      <c r="H8" s="141"/>
      <c r="I8" s="141" t="s">
        <v>229</v>
      </c>
      <c r="J8" s="142"/>
      <c r="K8" s="143"/>
      <c r="L8" s="143"/>
      <c r="M8" s="143"/>
      <c r="N8" s="144">
        <f>SUM(N9:N10)</f>
        <v>28296</v>
      </c>
      <c r="O8" s="144"/>
      <c r="P8" s="144">
        <v>1195455</v>
      </c>
      <c r="Q8" s="145">
        <f>N8+O8+P8</f>
        <v>1223751</v>
      </c>
      <c r="R8" s="40" t="s">
        <v>0</v>
      </c>
    </row>
    <row r="9" spans="1:18" ht="14.25">
      <c r="A9" s="48" t="s">
        <v>0</v>
      </c>
      <c r="B9" s="49" t="s">
        <v>224</v>
      </c>
      <c r="C9" s="49" t="s">
        <v>0</v>
      </c>
      <c r="D9" s="49" t="s">
        <v>228</v>
      </c>
      <c r="E9" s="49" t="s">
        <v>0</v>
      </c>
      <c r="F9" s="134" t="s">
        <v>0</v>
      </c>
      <c r="G9" s="134" t="s">
        <v>29</v>
      </c>
      <c r="H9" s="134">
        <v>1</v>
      </c>
      <c r="I9" s="134" t="s">
        <v>0</v>
      </c>
      <c r="J9" s="50">
        <f>3668/1.05</f>
        <v>3493.333333333333</v>
      </c>
      <c r="K9" s="137">
        <v>1.35</v>
      </c>
      <c r="L9" s="137"/>
      <c r="M9" s="137"/>
      <c r="N9" s="50">
        <f>ROUND(J9*K9*H9,1)</f>
        <v>4716</v>
      </c>
      <c r="O9" s="50"/>
      <c r="P9" s="50"/>
      <c r="Q9" s="131">
        <v>0</v>
      </c>
      <c r="R9" s="40" t="s">
        <v>0</v>
      </c>
    </row>
    <row r="10" spans="1:18" ht="14.25">
      <c r="A10" s="48" t="s">
        <v>0</v>
      </c>
      <c r="B10" s="49" t="s">
        <v>222</v>
      </c>
      <c r="C10" s="49" t="s">
        <v>0</v>
      </c>
      <c r="D10" s="49" t="s">
        <v>0</v>
      </c>
      <c r="E10" s="49" t="s">
        <v>208</v>
      </c>
      <c r="F10" s="134" t="s">
        <v>0</v>
      </c>
      <c r="G10" s="134" t="s">
        <v>29</v>
      </c>
      <c r="H10" s="134">
        <v>5</v>
      </c>
      <c r="I10" s="134" t="s">
        <v>0</v>
      </c>
      <c r="J10" s="50">
        <f>3668/1.05</f>
        <v>3493.333333333333</v>
      </c>
      <c r="K10" s="137">
        <v>1.35</v>
      </c>
      <c r="L10" s="137"/>
      <c r="M10" s="137"/>
      <c r="N10" s="50">
        <f>ROUND(J10*K10*H10,1)</f>
        <v>23580</v>
      </c>
      <c r="O10" s="50"/>
      <c r="P10" s="50"/>
      <c r="Q10" s="131">
        <v>0</v>
      </c>
      <c r="R10" s="40" t="s">
        <v>0</v>
      </c>
    </row>
    <row r="11" spans="1:18" ht="14.25">
      <c r="A11" s="48" t="s">
        <v>175</v>
      </c>
      <c r="B11" s="49" t="s">
        <v>227</v>
      </c>
      <c r="C11" s="49" t="s">
        <v>19</v>
      </c>
      <c r="D11" s="49" t="s">
        <v>0</v>
      </c>
      <c r="E11" s="49" t="s">
        <v>0</v>
      </c>
      <c r="F11" s="134" t="s">
        <v>0</v>
      </c>
      <c r="G11" s="134" t="s">
        <v>0</v>
      </c>
      <c r="H11" s="134"/>
      <c r="I11" s="134" t="s">
        <v>216</v>
      </c>
      <c r="J11" s="50"/>
      <c r="K11" s="137"/>
      <c r="L11" s="137"/>
      <c r="M11" s="137"/>
      <c r="N11" s="129"/>
      <c r="O11" s="129"/>
      <c r="P11" s="129">
        <v>5000</v>
      </c>
      <c r="Q11" s="130">
        <f>N11+O11+P11</f>
        <v>5000</v>
      </c>
      <c r="R11" s="40" t="s">
        <v>0</v>
      </c>
    </row>
    <row r="12" spans="1:18" ht="14.25">
      <c r="A12" s="48" t="s">
        <v>173</v>
      </c>
      <c r="B12" s="49" t="s">
        <v>226</v>
      </c>
      <c r="C12" s="49" t="s">
        <v>8</v>
      </c>
      <c r="D12" s="49" t="s">
        <v>0</v>
      </c>
      <c r="E12" s="49" t="s">
        <v>0</v>
      </c>
      <c r="F12" s="134" t="s">
        <v>0</v>
      </c>
      <c r="G12" s="134" t="s">
        <v>0</v>
      </c>
      <c r="H12" s="134"/>
      <c r="I12" s="134" t="s">
        <v>225</v>
      </c>
      <c r="J12" s="50"/>
      <c r="K12" s="137"/>
      <c r="L12" s="137"/>
      <c r="M12" s="137"/>
      <c r="N12" s="129">
        <f>SUM(N13:N16)</f>
        <v>34698.9</v>
      </c>
      <c r="O12" s="129"/>
      <c r="P12" s="129">
        <v>270047</v>
      </c>
      <c r="Q12" s="130">
        <f>N12+O12+P12</f>
        <v>304745.9</v>
      </c>
      <c r="R12" s="40" t="s">
        <v>0</v>
      </c>
    </row>
    <row r="13" spans="1:18" ht="14.25">
      <c r="A13" s="48" t="s">
        <v>0</v>
      </c>
      <c r="B13" s="49" t="s">
        <v>224</v>
      </c>
      <c r="C13" s="49" t="s">
        <v>0</v>
      </c>
      <c r="D13" s="49" t="s">
        <v>223</v>
      </c>
      <c r="E13" s="49" t="s">
        <v>0</v>
      </c>
      <c r="F13" s="134" t="s">
        <v>0</v>
      </c>
      <c r="G13" s="134" t="s">
        <v>14</v>
      </c>
      <c r="H13" s="134">
        <v>1</v>
      </c>
      <c r="I13" s="134" t="s">
        <v>0</v>
      </c>
      <c r="J13" s="50">
        <f>1209/1.05</f>
        <v>1151.4285714285713</v>
      </c>
      <c r="K13" s="137">
        <v>0.68</v>
      </c>
      <c r="L13" s="137"/>
      <c r="M13" s="137"/>
      <c r="N13" s="50">
        <f>ROUND(J13*K13*H13,1)</f>
        <v>783</v>
      </c>
      <c r="O13" s="50"/>
      <c r="P13" s="50"/>
      <c r="Q13" s="131">
        <v>0</v>
      </c>
      <c r="R13" s="40" t="s">
        <v>0</v>
      </c>
    </row>
    <row r="14" spans="1:18" ht="14.25">
      <c r="A14" s="48" t="s">
        <v>0</v>
      </c>
      <c r="B14" s="49" t="s">
        <v>222</v>
      </c>
      <c r="C14" s="49" t="s">
        <v>0</v>
      </c>
      <c r="D14" s="49" t="s">
        <v>0</v>
      </c>
      <c r="E14" s="49" t="s">
        <v>0</v>
      </c>
      <c r="F14" s="134" t="s">
        <v>0</v>
      </c>
      <c r="G14" s="134" t="s">
        <v>14</v>
      </c>
      <c r="H14" s="134">
        <v>1</v>
      </c>
      <c r="I14" s="134" t="s">
        <v>0</v>
      </c>
      <c r="J14" s="50">
        <f>1209/1.05</f>
        <v>1151.4285714285713</v>
      </c>
      <c r="K14" s="137">
        <v>0.68</v>
      </c>
      <c r="L14" s="137"/>
      <c r="M14" s="137"/>
      <c r="N14" s="50">
        <f>ROUND(J14*K14*H14,1)</f>
        <v>783</v>
      </c>
      <c r="O14" s="50"/>
      <c r="P14" s="50"/>
      <c r="Q14" s="131">
        <v>0</v>
      </c>
      <c r="R14" s="40" t="s">
        <v>0</v>
      </c>
    </row>
    <row r="15" spans="1:18" ht="14.25">
      <c r="A15" s="48" t="s">
        <v>0</v>
      </c>
      <c r="B15" s="49" t="s">
        <v>222</v>
      </c>
      <c r="C15" s="49" t="s">
        <v>0</v>
      </c>
      <c r="D15" s="49" t="s">
        <v>0</v>
      </c>
      <c r="E15" s="49" t="s">
        <v>0</v>
      </c>
      <c r="F15" s="134" t="s">
        <v>0</v>
      </c>
      <c r="G15" s="134" t="s">
        <v>29</v>
      </c>
      <c r="H15" s="134">
        <v>8</v>
      </c>
      <c r="I15" s="134" t="s">
        <v>0</v>
      </c>
      <c r="J15" s="50">
        <f>2577/1.05</f>
        <v>2454.285714285714</v>
      </c>
      <c r="K15" s="137">
        <v>1.35</v>
      </c>
      <c r="L15" s="137"/>
      <c r="M15" s="137"/>
      <c r="N15" s="50">
        <f>ROUND(J15*K15*H15,1)</f>
        <v>26506.3</v>
      </c>
      <c r="O15" s="50"/>
      <c r="P15" s="50"/>
      <c r="Q15" s="131">
        <v>0</v>
      </c>
      <c r="R15" s="40" t="s">
        <v>0</v>
      </c>
    </row>
    <row r="16" spans="1:18" ht="14.25">
      <c r="A16" s="48" t="s">
        <v>0</v>
      </c>
      <c r="B16" s="49" t="s">
        <v>221</v>
      </c>
      <c r="C16" s="49" t="s">
        <v>0</v>
      </c>
      <c r="D16" s="49" t="s">
        <v>0</v>
      </c>
      <c r="E16" s="49" t="s">
        <v>208</v>
      </c>
      <c r="F16" s="134" t="s">
        <v>0</v>
      </c>
      <c r="G16" s="134" t="s">
        <v>29</v>
      </c>
      <c r="H16" s="134">
        <v>2</v>
      </c>
      <c r="I16" s="134" t="s">
        <v>0</v>
      </c>
      <c r="J16" s="50">
        <f>2577/1.05</f>
        <v>2454.285714285714</v>
      </c>
      <c r="K16" s="137">
        <v>1.35</v>
      </c>
      <c r="L16" s="137"/>
      <c r="M16" s="137"/>
      <c r="N16" s="50">
        <f>ROUND(J16*K16*H16,1)</f>
        <v>6626.6</v>
      </c>
      <c r="O16" s="50"/>
      <c r="P16" s="50"/>
      <c r="Q16" s="131">
        <v>0</v>
      </c>
      <c r="R16" s="40" t="s">
        <v>0</v>
      </c>
    </row>
    <row r="17" spans="1:18" ht="14.25">
      <c r="A17" s="48" t="s">
        <v>171</v>
      </c>
      <c r="B17" s="49" t="s">
        <v>220</v>
      </c>
      <c r="C17" s="49" t="s">
        <v>8</v>
      </c>
      <c r="D17" s="49" t="s">
        <v>0</v>
      </c>
      <c r="E17" s="49" t="s">
        <v>0</v>
      </c>
      <c r="F17" s="134" t="s">
        <v>0</v>
      </c>
      <c r="G17" s="134" t="s">
        <v>0</v>
      </c>
      <c r="H17" s="134"/>
      <c r="I17" s="134" t="s">
        <v>216</v>
      </c>
      <c r="J17" s="50"/>
      <c r="K17" s="137"/>
      <c r="L17" s="137"/>
      <c r="M17" s="137"/>
      <c r="N17" s="129"/>
      <c r="O17" s="129"/>
      <c r="P17" s="129">
        <v>4090909.09</v>
      </c>
      <c r="Q17" s="130">
        <f>N17+O17+P17</f>
        <v>4090909.09</v>
      </c>
      <c r="R17" s="40" t="s">
        <v>0</v>
      </c>
    </row>
    <row r="18" spans="1:18" ht="14.25">
      <c r="A18" s="48" t="s">
        <v>170</v>
      </c>
      <c r="B18" s="49" t="s">
        <v>219</v>
      </c>
      <c r="C18" s="49" t="s">
        <v>83</v>
      </c>
      <c r="D18" s="49" t="s">
        <v>0</v>
      </c>
      <c r="E18" s="49" t="s">
        <v>0</v>
      </c>
      <c r="F18" s="134" t="s">
        <v>21</v>
      </c>
      <c r="G18" s="134" t="s">
        <v>0</v>
      </c>
      <c r="H18" s="134"/>
      <c r="I18" s="134" t="s">
        <v>216</v>
      </c>
      <c r="J18" s="50"/>
      <c r="K18" s="137"/>
      <c r="L18" s="137"/>
      <c r="M18" s="137"/>
      <c r="N18" s="129"/>
      <c r="O18" s="129"/>
      <c r="P18" s="129">
        <v>16818000</v>
      </c>
      <c r="Q18" s="130">
        <f>N18+O18+P18</f>
        <v>16818000</v>
      </c>
      <c r="R18" s="40" t="s">
        <v>0</v>
      </c>
    </row>
    <row r="19" spans="1:18" ht="14.25">
      <c r="A19" s="48" t="s">
        <v>168</v>
      </c>
      <c r="B19" s="49" t="s">
        <v>218</v>
      </c>
      <c r="C19" s="49" t="s">
        <v>83</v>
      </c>
      <c r="D19" s="49" t="s">
        <v>0</v>
      </c>
      <c r="E19" s="49" t="s">
        <v>0</v>
      </c>
      <c r="F19" s="134" t="s">
        <v>14</v>
      </c>
      <c r="G19" s="134" t="s">
        <v>0</v>
      </c>
      <c r="H19" s="134"/>
      <c r="I19" s="134" t="s">
        <v>216</v>
      </c>
      <c r="J19" s="50"/>
      <c r="K19" s="137"/>
      <c r="L19" s="137"/>
      <c r="M19" s="137"/>
      <c r="N19" s="129"/>
      <c r="O19" s="129"/>
      <c r="P19" s="129">
        <v>20000000</v>
      </c>
      <c r="Q19" s="130">
        <f>N19+O19+P19</f>
        <v>20000000</v>
      </c>
      <c r="R19" s="40" t="s">
        <v>0</v>
      </c>
    </row>
    <row r="20" spans="1:18" ht="14.25">
      <c r="A20" s="48" t="s">
        <v>166</v>
      </c>
      <c r="B20" s="49" t="s">
        <v>217</v>
      </c>
      <c r="C20" s="49" t="s">
        <v>83</v>
      </c>
      <c r="D20" s="49" t="s">
        <v>0</v>
      </c>
      <c r="E20" s="49" t="s">
        <v>0</v>
      </c>
      <c r="F20" s="134" t="s">
        <v>0</v>
      </c>
      <c r="G20" s="134" t="s">
        <v>0</v>
      </c>
      <c r="H20" s="134"/>
      <c r="I20" s="134" t="s">
        <v>216</v>
      </c>
      <c r="J20" s="50"/>
      <c r="K20" s="137"/>
      <c r="L20" s="137"/>
      <c r="M20" s="137"/>
      <c r="N20" s="129">
        <f>SUM(N21:N21)</f>
        <v>45897.4</v>
      </c>
      <c r="O20" s="129"/>
      <c r="P20" s="129">
        <v>21000000</v>
      </c>
      <c r="Q20" s="130">
        <f>N20+O20+P20</f>
        <v>21045897.4</v>
      </c>
      <c r="R20" s="40" t="s">
        <v>0</v>
      </c>
    </row>
    <row r="21" spans="1:18" ht="14.25">
      <c r="A21" s="48" t="s">
        <v>0</v>
      </c>
      <c r="B21" s="49" t="s">
        <v>215</v>
      </c>
      <c r="C21" s="49" t="s">
        <v>0</v>
      </c>
      <c r="D21" s="49" t="s">
        <v>0</v>
      </c>
      <c r="E21" s="49" t="s">
        <v>0</v>
      </c>
      <c r="F21" s="134" t="s">
        <v>0</v>
      </c>
      <c r="G21" s="134" t="s">
        <v>0</v>
      </c>
      <c r="H21" s="134"/>
      <c r="I21" s="134" t="s">
        <v>0</v>
      </c>
      <c r="J21" s="50">
        <f>('Phan tich don gia'!G117)</f>
        <v>45897.432</v>
      </c>
      <c r="K21" s="137"/>
      <c r="L21" s="137"/>
      <c r="M21" s="137"/>
      <c r="N21" s="50">
        <f>ROUND(J21,1)</f>
        <v>45897.4</v>
      </c>
      <c r="O21" s="50"/>
      <c r="P21" s="50"/>
      <c r="Q21" s="131">
        <v>0</v>
      </c>
      <c r="R21" s="40" t="s">
        <v>0</v>
      </c>
    </row>
    <row r="22" spans="1:18" ht="14.25">
      <c r="A22" s="48" t="s">
        <v>164</v>
      </c>
      <c r="B22" s="49" t="s">
        <v>214</v>
      </c>
      <c r="C22" s="49" t="s">
        <v>8</v>
      </c>
      <c r="D22" s="49" t="s">
        <v>0</v>
      </c>
      <c r="E22" s="49" t="s">
        <v>0</v>
      </c>
      <c r="F22" s="134" t="s">
        <v>0</v>
      </c>
      <c r="G22" s="134" t="s">
        <v>0</v>
      </c>
      <c r="H22" s="134"/>
      <c r="I22" s="134" t="s">
        <v>213</v>
      </c>
      <c r="J22" s="50"/>
      <c r="K22" s="137"/>
      <c r="L22" s="137"/>
      <c r="M22" s="137"/>
      <c r="N22" s="129">
        <f>SUM(N23:N25)</f>
        <v>88142</v>
      </c>
      <c r="O22" s="129"/>
      <c r="P22" s="129">
        <v>47273</v>
      </c>
      <c r="Q22" s="130">
        <f>N22+O22+P22</f>
        <v>135415</v>
      </c>
      <c r="R22" s="40" t="s">
        <v>0</v>
      </c>
    </row>
    <row r="23" spans="1:18" ht="14.25">
      <c r="A23" s="48" t="s">
        <v>0</v>
      </c>
      <c r="B23" s="49" t="s">
        <v>212</v>
      </c>
      <c r="C23" s="49" t="s">
        <v>0</v>
      </c>
      <c r="D23" s="49" t="s">
        <v>211</v>
      </c>
      <c r="E23" s="49" t="s">
        <v>0</v>
      </c>
      <c r="F23" s="134" t="s">
        <v>0</v>
      </c>
      <c r="G23" s="134" t="s">
        <v>29</v>
      </c>
      <c r="H23" s="134">
        <v>1</v>
      </c>
      <c r="I23" s="134" t="s">
        <v>0</v>
      </c>
      <c r="J23" s="50">
        <f>('Phan tich don gia'!G107)/10</f>
        <v>5308.162200000001</v>
      </c>
      <c r="K23" s="137">
        <v>1.35</v>
      </c>
      <c r="L23" s="137"/>
      <c r="M23" s="137"/>
      <c r="N23" s="50">
        <f>ROUND(J23*K23*H23,1)</f>
        <v>7166</v>
      </c>
      <c r="O23" s="50"/>
      <c r="P23" s="50"/>
      <c r="Q23" s="131">
        <v>0</v>
      </c>
      <c r="R23" s="40" t="s">
        <v>0</v>
      </c>
    </row>
    <row r="24" spans="1:18" ht="14.25">
      <c r="A24" s="48" t="s">
        <v>0</v>
      </c>
      <c r="B24" s="49" t="s">
        <v>210</v>
      </c>
      <c r="C24" s="49" t="s">
        <v>0</v>
      </c>
      <c r="D24" s="49" t="s">
        <v>0</v>
      </c>
      <c r="E24" s="49" t="s">
        <v>0</v>
      </c>
      <c r="F24" s="134" t="s">
        <v>0</v>
      </c>
      <c r="G24" s="134" t="s">
        <v>29</v>
      </c>
      <c r="H24" s="134">
        <v>9</v>
      </c>
      <c r="I24" s="134" t="s">
        <v>0</v>
      </c>
      <c r="J24" s="50">
        <f>('Phan tich don gia'!G124)/10</f>
        <v>3715.7135399999997</v>
      </c>
      <c r="K24" s="137">
        <v>1.35</v>
      </c>
      <c r="L24" s="137"/>
      <c r="M24" s="137"/>
      <c r="N24" s="50">
        <f>ROUND(J24*K24*H24,1)</f>
        <v>45145.9</v>
      </c>
      <c r="O24" s="50"/>
      <c r="P24" s="50"/>
      <c r="Q24" s="131">
        <v>0</v>
      </c>
      <c r="R24" s="40" t="s">
        <v>0</v>
      </c>
    </row>
    <row r="25" spans="1:18" ht="15" thickBot="1">
      <c r="A25" s="58" t="s">
        <v>0</v>
      </c>
      <c r="B25" s="59" t="s">
        <v>209</v>
      </c>
      <c r="C25" s="59" t="s">
        <v>0</v>
      </c>
      <c r="D25" s="59" t="s">
        <v>0</v>
      </c>
      <c r="E25" s="59" t="s">
        <v>208</v>
      </c>
      <c r="F25" s="135" t="s">
        <v>0</v>
      </c>
      <c r="G25" s="135" t="s">
        <v>29</v>
      </c>
      <c r="H25" s="135">
        <v>10</v>
      </c>
      <c r="I25" s="135" t="s">
        <v>0</v>
      </c>
      <c r="J25" s="60">
        <f>('Phan tich don gia'!G128)/10</f>
        <v>2654.0811000000003</v>
      </c>
      <c r="K25" s="138">
        <v>1.35</v>
      </c>
      <c r="L25" s="138"/>
      <c r="M25" s="138"/>
      <c r="N25" s="60">
        <f>ROUND(J25*K25*H25,1)</f>
        <v>35830.1</v>
      </c>
      <c r="O25" s="60"/>
      <c r="P25" s="60"/>
      <c r="Q25" s="132">
        <v>0</v>
      </c>
      <c r="R25" s="40" t="s">
        <v>0</v>
      </c>
    </row>
  </sheetData>
  <sheetProtection/>
  <mergeCells count="4">
    <mergeCell ref="A1:Q1"/>
    <mergeCell ref="A3:Q3"/>
    <mergeCell ref="A4:Q4"/>
    <mergeCell ref="A5:Q5"/>
  </mergeCells>
  <printOptions horizontalCentered="1"/>
  <pageMargins left="0.5" right="0.25" top="0.75" bottom="0.7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40" customWidth="1"/>
    <col min="2" max="2" width="7.59765625" style="40" customWidth="1"/>
    <col min="3" max="3" width="25.59765625" style="40" customWidth="1"/>
    <col min="4" max="4" width="4.69921875" style="40" customWidth="1"/>
    <col min="5" max="5" width="7.09765625" style="157" customWidth="1"/>
    <col min="6" max="8" width="6.09765625" style="127" customWidth="1"/>
    <col min="9" max="9" width="6.59765625" style="127" customWidth="1"/>
    <col min="10" max="10" width="60" style="40" hidden="1" customWidth="1"/>
    <col min="11" max="11" width="9.59765625" style="68" customWidth="1"/>
    <col min="12" max="16384" width="9" style="40" customWidth="1"/>
  </cols>
  <sheetData>
    <row r="1" spans="1:11" ht="21" customHeight="1">
      <c r="A1" s="237" t="s">
        <v>294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4.25">
      <c r="A2" s="43"/>
      <c r="B2" s="43"/>
      <c r="C2" s="43"/>
      <c r="D2" s="43"/>
      <c r="E2" s="160"/>
      <c r="F2" s="161"/>
      <c r="G2" s="161"/>
      <c r="H2" s="161"/>
      <c r="I2" s="161"/>
      <c r="J2" s="43"/>
      <c r="K2" s="73"/>
    </row>
    <row r="3" spans="1:11" s="38" customFormat="1" ht="16.5" customHeight="1">
      <c r="A3" s="229" t="s">
        <v>237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s="38" customFormat="1" ht="16.5" customHeight="1">
      <c r="A4" s="229" t="s">
        <v>238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s="38" customFormat="1" ht="16.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5" thickBot="1">
      <c r="A6" s="43"/>
      <c r="B6" s="43"/>
      <c r="C6" s="43"/>
      <c r="D6" s="43"/>
      <c r="E6" s="160"/>
      <c r="F6" s="161"/>
      <c r="G6" s="161"/>
      <c r="H6" s="161"/>
      <c r="I6" s="161"/>
      <c r="J6" s="43"/>
      <c r="K6" s="73"/>
    </row>
    <row r="7" spans="1:11" ht="45" customHeight="1">
      <c r="A7" s="151" t="s">
        <v>120</v>
      </c>
      <c r="B7" s="153" t="s">
        <v>249</v>
      </c>
      <c r="C7" s="152" t="s">
        <v>250</v>
      </c>
      <c r="D7" s="153" t="s">
        <v>259</v>
      </c>
      <c r="E7" s="162" t="s">
        <v>295</v>
      </c>
      <c r="F7" s="163" t="s">
        <v>296</v>
      </c>
      <c r="G7" s="163" t="s">
        <v>297</v>
      </c>
      <c r="H7" s="163" t="s">
        <v>298</v>
      </c>
      <c r="I7" s="163" t="s">
        <v>299</v>
      </c>
      <c r="J7" s="152" t="s">
        <v>300</v>
      </c>
      <c r="K7" s="164" t="s">
        <v>301</v>
      </c>
    </row>
    <row r="8" spans="1:11" ht="15" thickBot="1">
      <c r="A8" s="46" t="s">
        <v>0</v>
      </c>
      <c r="B8" s="47" t="s">
        <v>0</v>
      </c>
      <c r="C8" s="47" t="s">
        <v>0</v>
      </c>
      <c r="D8" s="47" t="s">
        <v>0</v>
      </c>
      <c r="E8" s="158" t="s">
        <v>0</v>
      </c>
      <c r="F8" s="128">
        <v>0</v>
      </c>
      <c r="G8" s="128">
        <v>0</v>
      </c>
      <c r="H8" s="128">
        <v>0</v>
      </c>
      <c r="I8" s="128">
        <v>0</v>
      </c>
      <c r="J8" s="47" t="s">
        <v>0</v>
      </c>
      <c r="K8" s="159"/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65" customWidth="1"/>
    <col min="5" max="5" width="12.5" style="165" customWidth="1"/>
    <col min="6" max="6" width="15.59765625" style="165" customWidth="1"/>
    <col min="7" max="16384" width="9" style="6" customWidth="1"/>
  </cols>
  <sheetData>
    <row r="1" spans="1:6" ht="21">
      <c r="A1" s="237" t="s">
        <v>302</v>
      </c>
      <c r="B1" s="237"/>
      <c r="C1" s="237"/>
      <c r="D1" s="237"/>
      <c r="E1" s="237"/>
      <c r="F1" s="237"/>
    </row>
    <row r="2" spans="1:6" ht="15.75">
      <c r="A2" s="2"/>
      <c r="B2" s="2"/>
      <c r="C2" s="2"/>
      <c r="D2" s="5"/>
      <c r="E2" s="5"/>
      <c r="F2" s="5"/>
    </row>
    <row r="3" spans="1:6" s="38" customFormat="1" ht="16.5">
      <c r="A3" s="229" t="s">
        <v>237</v>
      </c>
      <c r="B3" s="229"/>
      <c r="C3" s="229"/>
      <c r="D3" s="229"/>
      <c r="E3" s="229"/>
      <c r="F3" s="229"/>
    </row>
    <row r="4" spans="1:6" s="38" customFormat="1" ht="16.5">
      <c r="A4" s="229" t="s">
        <v>238</v>
      </c>
      <c r="B4" s="229"/>
      <c r="C4" s="229"/>
      <c r="D4" s="229"/>
      <c r="E4" s="229"/>
      <c r="F4" s="229"/>
    </row>
    <row r="5" spans="1:6" s="38" customFormat="1" ht="16.5">
      <c r="A5" s="229"/>
      <c r="B5" s="229"/>
      <c r="C5" s="229"/>
      <c r="D5" s="229"/>
      <c r="E5" s="229"/>
      <c r="F5" s="229"/>
    </row>
    <row r="6" spans="1:6" ht="16.5" thickBot="1">
      <c r="A6" s="2"/>
      <c r="B6" s="2"/>
      <c r="C6" s="2"/>
      <c r="D6" s="5"/>
      <c r="E6" s="5"/>
      <c r="F6" s="5"/>
    </row>
    <row r="7" spans="1:6" ht="45" customHeight="1">
      <c r="A7" s="33" t="s">
        <v>120</v>
      </c>
      <c r="B7" s="34" t="s">
        <v>303</v>
      </c>
      <c r="C7" s="35" t="s">
        <v>259</v>
      </c>
      <c r="D7" s="174" t="s">
        <v>304</v>
      </c>
      <c r="E7" s="174" t="s">
        <v>248</v>
      </c>
      <c r="F7" s="175" t="s">
        <v>246</v>
      </c>
    </row>
    <row r="8" spans="1:6" ht="15.75">
      <c r="A8" s="19" t="s">
        <v>0</v>
      </c>
      <c r="B8" s="20" t="s">
        <v>1</v>
      </c>
      <c r="C8" s="20" t="s">
        <v>0</v>
      </c>
      <c r="D8" s="172">
        <f>SUMIF('Phan tich KL VL,NC,M'!C$8:C$37,B8,'Phan tich KL VL,NC,M'!G$8:G$37)</f>
        <v>0</v>
      </c>
      <c r="E8" s="172">
        <v>0</v>
      </c>
      <c r="F8" s="173"/>
    </row>
    <row r="9" spans="1:6" ht="15">
      <c r="A9" s="12" t="s">
        <v>0</v>
      </c>
      <c r="B9" s="13" t="s">
        <v>0</v>
      </c>
      <c r="C9" s="13" t="s">
        <v>0</v>
      </c>
      <c r="D9" s="168">
        <f>SUMIF('Phan tich KL VL,NC,M'!C$8:C$37,B9,'Phan tich KL VL,NC,M'!G$8:G$37)</f>
        <v>0</v>
      </c>
      <c r="E9" s="168">
        <v>0</v>
      </c>
      <c r="F9" s="169"/>
    </row>
    <row r="10" spans="1:6" ht="15.75">
      <c r="A10" s="8" t="s">
        <v>0</v>
      </c>
      <c r="B10" s="9" t="s">
        <v>233</v>
      </c>
      <c r="C10" s="9" t="s">
        <v>0</v>
      </c>
      <c r="D10" s="166">
        <f>SUMIF('Phan tich KL VL,NC,M'!C$8:C$37,B10,'Phan tich KL VL,NC,M'!G$8:G$37)</f>
        <v>0</v>
      </c>
      <c r="E10" s="166">
        <v>0</v>
      </c>
      <c r="F10" s="167">
        <f>SUM(F11:F20)</f>
        <v>428733759.02292436</v>
      </c>
    </row>
    <row r="11" spans="1:6" ht="15">
      <c r="A11" s="12" t="s">
        <v>0</v>
      </c>
      <c r="B11" s="13" t="s">
        <v>0</v>
      </c>
      <c r="C11" s="13" t="s">
        <v>0</v>
      </c>
      <c r="D11" s="168">
        <f>SUMIF('Phan tich KL VL,NC,M'!C$8:C$37,B11,'Phan tich KL VL,NC,M'!G$8:G$37)</f>
        <v>0</v>
      </c>
      <c r="E11" s="168">
        <v>0</v>
      </c>
      <c r="F11" s="169"/>
    </row>
    <row r="12" spans="1:6" ht="15">
      <c r="A12" s="12" t="s">
        <v>181</v>
      </c>
      <c r="B12" s="13" t="s">
        <v>184</v>
      </c>
      <c r="C12" s="13" t="s">
        <v>181</v>
      </c>
      <c r="D12" s="168">
        <f>100</f>
        <v>100</v>
      </c>
      <c r="E12" s="168">
        <v>60880.69181</v>
      </c>
      <c r="F12" s="169">
        <f aca="true" t="shared" si="0" ref="F12:F19">D12*E12</f>
        <v>6088069.181</v>
      </c>
    </row>
    <row r="13" spans="1:6" ht="15">
      <c r="A13" s="12" t="s">
        <v>2</v>
      </c>
      <c r="B13" s="13" t="s">
        <v>33</v>
      </c>
      <c r="C13" s="13" t="s">
        <v>8</v>
      </c>
      <c r="D13" s="168">
        <f>SUMIF('Phan tich KL VL,NC,M'!C$8:C$37,B13,'Phan tich KL VL,NC,M'!G$8:G$37)</f>
        <v>299.27745</v>
      </c>
      <c r="E13" s="168">
        <f>'Gia VL'!Q8</f>
        <v>1223751</v>
      </c>
      <c r="F13" s="169">
        <f t="shared" si="0"/>
        <v>366241078.71494997</v>
      </c>
    </row>
    <row r="14" spans="1:6" ht="15">
      <c r="A14" s="12" t="s">
        <v>14</v>
      </c>
      <c r="B14" s="13" t="s">
        <v>18</v>
      </c>
      <c r="C14" s="13" t="s">
        <v>19</v>
      </c>
      <c r="D14" s="168">
        <f>SUMIF('Phan tich KL VL,NC,M'!C$8:C$37,B14,'Phan tich KL VL,NC,M'!G$8:G$37)</f>
        <v>1424.3900000000003</v>
      </c>
      <c r="E14" s="168">
        <f>'Gia VL'!Q11</f>
        <v>5000</v>
      </c>
      <c r="F14" s="169">
        <f t="shared" si="0"/>
        <v>7121950.000000002</v>
      </c>
    </row>
    <row r="15" spans="1:6" ht="15">
      <c r="A15" s="12" t="s">
        <v>21</v>
      </c>
      <c r="B15" s="13" t="s">
        <v>7</v>
      </c>
      <c r="C15" s="13" t="s">
        <v>8</v>
      </c>
      <c r="D15" s="168">
        <f>SUMIF('Phan tich KL VL,NC,M'!C$8:C$37,B15,'Phan tich KL VL,NC,M'!G$8:G$37)</f>
        <v>45.75</v>
      </c>
      <c r="E15" s="168">
        <f>'Gia VL'!Q12</f>
        <v>304745.9</v>
      </c>
      <c r="F15" s="169">
        <f t="shared" si="0"/>
        <v>13942124.925</v>
      </c>
    </row>
    <row r="16" spans="1:6" ht="15">
      <c r="A16" s="12" t="s">
        <v>29</v>
      </c>
      <c r="B16" s="13" t="s">
        <v>34</v>
      </c>
      <c r="C16" s="13" t="s">
        <v>8</v>
      </c>
      <c r="D16" s="168">
        <f>SUMIF('Phan tich KL VL,NC,M'!C$8:C$37,B16,'Phan tich KL VL,NC,M'!G$8:G$37)</f>
        <v>4.0876920000000005</v>
      </c>
      <c r="E16" s="168">
        <f>'Gia VL'!Q17</f>
        <v>4090909.09</v>
      </c>
      <c r="F16" s="169">
        <f t="shared" si="0"/>
        <v>16722376.359920282</v>
      </c>
    </row>
    <row r="17" spans="1:6" ht="15">
      <c r="A17" s="12" t="s">
        <v>39</v>
      </c>
      <c r="B17" s="13" t="s">
        <v>35</v>
      </c>
      <c r="C17" s="13" t="s">
        <v>25</v>
      </c>
      <c r="D17" s="168">
        <f>SUMIF('Phan tich KL VL,NC,M'!C$8:C$37,B17,'Phan tich KL VL,NC,M'!G$8:G$37)</f>
        <v>1021.923</v>
      </c>
      <c r="E17" s="168">
        <f>ROUND('Gia VL'!Q18/1000,5)</f>
        <v>16818</v>
      </c>
      <c r="F17" s="169">
        <f t="shared" si="0"/>
        <v>17186701.014</v>
      </c>
    </row>
    <row r="18" spans="1:6" ht="15">
      <c r="A18" s="12" t="s">
        <v>44</v>
      </c>
      <c r="B18" s="13" t="s">
        <v>26</v>
      </c>
      <c r="C18" s="13" t="s">
        <v>25</v>
      </c>
      <c r="D18" s="168">
        <f>SUMIF('Phan tich KL VL,NC,M'!C$8:C$37,B18,'Phan tich KL VL,NC,M'!G$8:G$37)</f>
        <v>3.25638</v>
      </c>
      <c r="E18" s="168">
        <f>ROUND('Gia VL'!Q19/1000,5)</f>
        <v>20000</v>
      </c>
      <c r="F18" s="169">
        <f t="shared" si="0"/>
        <v>65127.6</v>
      </c>
    </row>
    <row r="19" spans="1:6" ht="15">
      <c r="A19" s="12" t="s">
        <v>48</v>
      </c>
      <c r="B19" s="13" t="s">
        <v>24</v>
      </c>
      <c r="C19" s="13" t="s">
        <v>25</v>
      </c>
      <c r="D19" s="168">
        <f>SUMIF('Phan tich KL VL,NC,M'!C$8:C$37,B19,'Phan tich KL VL,NC,M'!G$8:G$37)</f>
        <v>64.9215</v>
      </c>
      <c r="E19" s="168">
        <f>ROUND('Gia VL'!Q20/1000,5)</f>
        <v>21045.8974</v>
      </c>
      <c r="F19" s="169">
        <f t="shared" si="0"/>
        <v>1366331.2280541</v>
      </c>
    </row>
    <row r="20" spans="1:6" ht="15">
      <c r="A20" s="12" t="s">
        <v>0</v>
      </c>
      <c r="B20" s="13" t="s">
        <v>0</v>
      </c>
      <c r="C20" s="13" t="s">
        <v>0</v>
      </c>
      <c r="D20" s="168">
        <f>SUMIF('Phan tich KL VL,NC,M'!C$8:C$37,B20,'Phan tich KL VL,NC,M'!G$8:G$37)</f>
        <v>0</v>
      </c>
      <c r="E20" s="168">
        <v>0</v>
      </c>
      <c r="F20" s="169"/>
    </row>
    <row r="21" spans="1:6" ht="15.75">
      <c r="A21" s="8" t="s">
        <v>0</v>
      </c>
      <c r="B21" s="9" t="s">
        <v>232</v>
      </c>
      <c r="C21" s="9" t="s">
        <v>0</v>
      </c>
      <c r="D21" s="166">
        <f>SUMIF('Phan tich KL VL,NC,M'!C$8:C$37,B21,'Phan tich KL VL,NC,M'!G$8:G$37)</f>
        <v>0</v>
      </c>
      <c r="E21" s="166">
        <v>0</v>
      </c>
      <c r="F21" s="167">
        <f>SUM(F22:F26)</f>
        <v>39500947.87155001</v>
      </c>
    </row>
    <row r="22" spans="1:6" ht="15">
      <c r="A22" s="12" t="s">
        <v>0</v>
      </c>
      <c r="B22" s="13" t="s">
        <v>0</v>
      </c>
      <c r="C22" s="13" t="s">
        <v>0</v>
      </c>
      <c r="D22" s="168">
        <f>SUMIF('Phan tich KL VL,NC,M'!C$8:C$37,B22,'Phan tich KL VL,NC,M'!G$8:G$37)</f>
        <v>0</v>
      </c>
      <c r="E22" s="168">
        <v>0</v>
      </c>
      <c r="F22" s="169"/>
    </row>
    <row r="23" spans="1:6" ht="15">
      <c r="A23" s="12" t="s">
        <v>53</v>
      </c>
      <c r="B23" s="13" t="s">
        <v>9</v>
      </c>
      <c r="C23" s="13" t="s">
        <v>10</v>
      </c>
      <c r="D23" s="168">
        <f>SUMIF('Phan tich KL VL,NC,M'!C$8:C$37,B23,'Phan tich KL VL,NC,M'!G$8:G$37)</f>
        <v>0.55875</v>
      </c>
      <c r="E23" s="168">
        <f>'Gia NC,CM'!P8</f>
        <v>218559.2</v>
      </c>
      <c r="F23" s="169">
        <f>D23*E23</f>
        <v>122119.953</v>
      </c>
    </row>
    <row r="24" spans="1:6" ht="15">
      <c r="A24" s="12" t="s">
        <v>57</v>
      </c>
      <c r="B24" s="13" t="s">
        <v>20</v>
      </c>
      <c r="C24" s="13" t="s">
        <v>10</v>
      </c>
      <c r="D24" s="168">
        <f>SUMIF('Phan tich KL VL,NC,M'!C$8:C$37,B24,'Phan tich KL VL,NC,M'!G$8:G$37)</f>
        <v>130.41267000000002</v>
      </c>
      <c r="E24" s="168">
        <f>'Gia NC,CM'!P9</f>
        <v>252200</v>
      </c>
      <c r="F24" s="169">
        <f>D24*E24</f>
        <v>32890075.374000005</v>
      </c>
    </row>
    <row r="25" spans="1:6" ht="15">
      <c r="A25" s="12" t="s">
        <v>61</v>
      </c>
      <c r="B25" s="13" t="s">
        <v>27</v>
      </c>
      <c r="C25" s="13" t="s">
        <v>10</v>
      </c>
      <c r="D25" s="168">
        <f>SUMIF('Phan tich KL VL,NC,M'!C$8:C$37,B25,'Phan tich KL VL,NC,M'!G$8:G$37)</f>
        <v>23.7015</v>
      </c>
      <c r="E25" s="168">
        <f>'Gia NC,CM'!P10</f>
        <v>273769.7</v>
      </c>
      <c r="F25" s="169">
        <f>D25*E25</f>
        <v>6488752.54455</v>
      </c>
    </row>
    <row r="26" spans="1:6" ht="15">
      <c r="A26" s="12" t="s">
        <v>0</v>
      </c>
      <c r="B26" s="13" t="s">
        <v>0</v>
      </c>
      <c r="C26" s="13" t="s">
        <v>0</v>
      </c>
      <c r="D26" s="168">
        <f>SUMIF('Phan tich KL VL,NC,M'!C$8:C$37,B26,'Phan tich KL VL,NC,M'!G$8:G$37)</f>
        <v>0</v>
      </c>
      <c r="E26" s="168">
        <v>0</v>
      </c>
      <c r="F26" s="169"/>
    </row>
    <row r="27" spans="1:6" ht="15.75">
      <c r="A27" s="8" t="s">
        <v>0</v>
      </c>
      <c r="B27" s="9" t="s">
        <v>231</v>
      </c>
      <c r="C27" s="9" t="s">
        <v>0</v>
      </c>
      <c r="D27" s="166">
        <f>SUMIF('Phan tich KL VL,NC,M'!C$8:C$37,B27,'Phan tich KL VL,NC,M'!G$8:G$37)</f>
        <v>0</v>
      </c>
      <c r="E27" s="166">
        <v>0</v>
      </c>
      <c r="F27" s="167">
        <f>SUM(F28:F37)</f>
        <v>15079089.515134402</v>
      </c>
    </row>
    <row r="28" spans="1:6" ht="15">
      <c r="A28" s="12" t="s">
        <v>0</v>
      </c>
      <c r="B28" s="13" t="s">
        <v>0</v>
      </c>
      <c r="C28" s="13" t="s">
        <v>0</v>
      </c>
      <c r="D28" s="168">
        <f>SUMIF('Phan tich KL VL,NC,M'!C$8:C$37,B28,'Phan tich KL VL,NC,M'!G$8:G$37)</f>
        <v>0</v>
      </c>
      <c r="E28" s="168">
        <v>0</v>
      </c>
      <c r="F28" s="169"/>
    </row>
    <row r="29" spans="1:6" ht="15">
      <c r="A29" s="12" t="s">
        <v>181</v>
      </c>
      <c r="B29" s="13" t="s">
        <v>182</v>
      </c>
      <c r="C29" s="13" t="s">
        <v>181</v>
      </c>
      <c r="D29" s="168">
        <f>100</f>
        <v>100</v>
      </c>
      <c r="E29" s="168">
        <v>2944.59452</v>
      </c>
      <c r="F29" s="169">
        <f aca="true" t="shared" si="1" ref="F29:F34">D29*E29</f>
        <v>294459.452</v>
      </c>
    </row>
    <row r="30" spans="1:6" ht="15">
      <c r="A30" s="12" t="s">
        <v>64</v>
      </c>
      <c r="B30" s="13" t="s">
        <v>28</v>
      </c>
      <c r="C30" s="13" t="s">
        <v>12</v>
      </c>
      <c r="D30" s="168">
        <f>SUMIF('Phan tich KL VL,NC,M'!C$8:C$37,B30,'Phan tich KL VL,NC,M'!G$8:G$37)</f>
        <v>0.86562</v>
      </c>
      <c r="E30" s="168">
        <f>'Gia NC,CM'!P11</f>
        <v>409418.3</v>
      </c>
      <c r="F30" s="169">
        <f t="shared" si="1"/>
        <v>354400.668846</v>
      </c>
    </row>
    <row r="31" spans="1:6" ht="15">
      <c r="A31" s="12" t="s">
        <v>70</v>
      </c>
      <c r="B31" s="13" t="s">
        <v>11</v>
      </c>
      <c r="C31" s="13" t="s">
        <v>12</v>
      </c>
      <c r="D31" s="168">
        <f>SUMIF('Phan tich KL VL,NC,M'!C$8:C$37,B31,'Phan tich KL VL,NC,M'!G$8:G$37)</f>
        <v>0.12825</v>
      </c>
      <c r="E31" s="168">
        <f>'Gia NC,CM'!P13</f>
        <v>1010267.8</v>
      </c>
      <c r="F31" s="169">
        <f t="shared" si="1"/>
        <v>129566.84535</v>
      </c>
    </row>
    <row r="32" spans="1:6" ht="15">
      <c r="A32" s="12" t="s">
        <v>73</v>
      </c>
      <c r="B32" s="13" t="s">
        <v>36</v>
      </c>
      <c r="C32" s="13" t="s">
        <v>12</v>
      </c>
      <c r="D32" s="168">
        <f>SUMIF('Phan tich KL VL,NC,M'!C$8:C$37,B32,'Phan tich KL VL,NC,M'!G$8:G$37)</f>
        <v>25.986042</v>
      </c>
      <c r="E32" s="168">
        <f>'Gia NC,CM'!P16</f>
        <v>270954</v>
      </c>
      <c r="F32" s="169">
        <f t="shared" si="1"/>
        <v>7041022.024068001</v>
      </c>
    </row>
    <row r="33" spans="1:6" ht="15">
      <c r="A33" s="12" t="s">
        <v>80</v>
      </c>
      <c r="B33" s="13" t="s">
        <v>37</v>
      </c>
      <c r="C33" s="13" t="s">
        <v>12</v>
      </c>
      <c r="D33" s="168">
        <f>SUMIF('Phan tich KL VL,NC,M'!C$8:C$37,B33,'Phan tich KL VL,NC,M'!G$8:G$37)</f>
        <v>25.986042</v>
      </c>
      <c r="E33" s="168">
        <f>'Gia NC,CM'!P17</f>
        <v>274861.2</v>
      </c>
      <c r="F33" s="169">
        <f t="shared" si="1"/>
        <v>7142554.687370401</v>
      </c>
    </row>
    <row r="34" spans="1:6" ht="15">
      <c r="A34" s="12" t="s">
        <v>85</v>
      </c>
      <c r="B34" s="13" t="s">
        <v>13</v>
      </c>
      <c r="C34" s="13" t="s">
        <v>12</v>
      </c>
      <c r="D34" s="168">
        <f>SUMIF('Phan tich KL VL,NC,M'!C$8:C$37,B34,'Phan tich KL VL,NC,M'!G$8:G$37)</f>
        <v>0.064125</v>
      </c>
      <c r="E34" s="168">
        <f>'Gia NC,CM'!P18</f>
        <v>1825900</v>
      </c>
      <c r="F34" s="169">
        <f t="shared" si="1"/>
        <v>117085.83750000001</v>
      </c>
    </row>
    <row r="35" spans="1:6" ht="15">
      <c r="A35" s="12" t="s">
        <v>0</v>
      </c>
      <c r="B35" s="13" t="s">
        <v>0</v>
      </c>
      <c r="C35" s="13" t="s">
        <v>0</v>
      </c>
      <c r="D35" s="168">
        <f>SUMIF('Phan tich KL VL,NC,M'!C$8:C$37,B35,'Phan tich KL VL,NC,M'!G$8:G$37)</f>
        <v>0</v>
      </c>
      <c r="E35" s="168">
        <v>0</v>
      </c>
      <c r="F35" s="169"/>
    </row>
    <row r="36" spans="1:6" ht="15.75">
      <c r="A36" s="8" t="s">
        <v>0</v>
      </c>
      <c r="B36" s="9" t="s">
        <v>38</v>
      </c>
      <c r="C36" s="9" t="s">
        <v>0</v>
      </c>
      <c r="D36" s="166">
        <f>SUMIF('Phan tich KL VL,NC,M'!C$37:C$83,B36,'Phan tich KL VL,NC,M'!G$37:G$83)</f>
        <v>0</v>
      </c>
      <c r="E36" s="166">
        <v>0</v>
      </c>
      <c r="F36" s="167"/>
    </row>
    <row r="37" spans="1:6" ht="15">
      <c r="A37" s="12" t="s">
        <v>0</v>
      </c>
      <c r="B37" s="13" t="s">
        <v>0</v>
      </c>
      <c r="C37" s="13" t="s">
        <v>0</v>
      </c>
      <c r="D37" s="168">
        <f>SUMIF('Phan tich KL VL,NC,M'!C$37:C$83,B37,'Phan tich KL VL,NC,M'!G$37:G$83)</f>
        <v>0</v>
      </c>
      <c r="E37" s="168">
        <v>0</v>
      </c>
      <c r="F37" s="169"/>
    </row>
    <row r="38" spans="1:6" ht="15.75">
      <c r="A38" s="8" t="s">
        <v>0</v>
      </c>
      <c r="B38" s="9" t="s">
        <v>233</v>
      </c>
      <c r="C38" s="9" t="s">
        <v>0</v>
      </c>
      <c r="D38" s="166">
        <f>SUMIF('Phan tich KL VL,NC,M'!C$37:C$83,B38,'Phan tich KL VL,NC,M'!G$37:G$83)</f>
        <v>0</v>
      </c>
      <c r="E38" s="166">
        <v>0</v>
      </c>
      <c r="F38" s="167">
        <f>SUM(F39:F41)</f>
        <v>13327950.545</v>
      </c>
    </row>
    <row r="39" spans="1:6" ht="15">
      <c r="A39" s="12" t="s">
        <v>0</v>
      </c>
      <c r="B39" s="13" t="s">
        <v>0</v>
      </c>
      <c r="C39" s="13" t="s">
        <v>0</v>
      </c>
      <c r="D39" s="168">
        <f>SUMIF('Phan tich KL VL,NC,M'!C$37:C$83,B39,'Phan tich KL VL,NC,M'!G$37:G$83)</f>
        <v>0</v>
      </c>
      <c r="E39" s="168">
        <v>0</v>
      </c>
      <c r="F39" s="169"/>
    </row>
    <row r="40" spans="1:6" ht="15">
      <c r="A40" s="12" t="s">
        <v>2</v>
      </c>
      <c r="B40" s="13" t="s">
        <v>56</v>
      </c>
      <c r="C40" s="13" t="s">
        <v>8</v>
      </c>
      <c r="D40" s="168">
        <f>SUMIF('Phan tich KL VL,NC,M'!C$37:C$83,B40,'Phan tich KL VL,NC,M'!G$37:G$83)</f>
        <v>98.423</v>
      </c>
      <c r="E40" s="168">
        <f>'Gia VL'!Q22</f>
        <v>135415</v>
      </c>
      <c r="F40" s="169">
        <f>D40*E40</f>
        <v>13327950.545</v>
      </c>
    </row>
    <row r="41" spans="1:6" ht="15">
      <c r="A41" s="12" t="s">
        <v>0</v>
      </c>
      <c r="B41" s="13" t="s">
        <v>0</v>
      </c>
      <c r="C41" s="13" t="s">
        <v>0</v>
      </c>
      <c r="D41" s="168">
        <f>SUMIF('Phan tich KL VL,NC,M'!C$37:C$83,B41,'Phan tich KL VL,NC,M'!G$37:G$83)</f>
        <v>0</v>
      </c>
      <c r="E41" s="168">
        <v>0</v>
      </c>
      <c r="F41" s="169"/>
    </row>
    <row r="42" spans="1:6" ht="15.75">
      <c r="A42" s="8" t="s">
        <v>0</v>
      </c>
      <c r="B42" s="9" t="s">
        <v>232</v>
      </c>
      <c r="C42" s="9" t="s">
        <v>0</v>
      </c>
      <c r="D42" s="166">
        <f>SUMIF('Phan tich KL VL,NC,M'!C$37:C$83,B42,'Phan tich KL VL,NC,M'!G$37:G$83)</f>
        <v>0</v>
      </c>
      <c r="E42" s="166">
        <v>0</v>
      </c>
      <c r="F42" s="167">
        <f>SUM(F43:F45)</f>
        <v>5615513.213017601</v>
      </c>
    </row>
    <row r="43" spans="1:6" ht="15">
      <c r="A43" s="12" t="s">
        <v>0</v>
      </c>
      <c r="B43" s="13" t="s">
        <v>0</v>
      </c>
      <c r="C43" s="13" t="s">
        <v>0</v>
      </c>
      <c r="D43" s="168">
        <f>SUMIF('Phan tich KL VL,NC,M'!C$37:C$83,B43,'Phan tich KL VL,NC,M'!G$37:G$83)</f>
        <v>0</v>
      </c>
      <c r="E43" s="168">
        <v>0</v>
      </c>
      <c r="F43" s="169"/>
    </row>
    <row r="44" spans="1:6" ht="15">
      <c r="A44" s="12" t="s">
        <v>14</v>
      </c>
      <c r="B44" s="13" t="s">
        <v>9</v>
      </c>
      <c r="C44" s="13" t="s">
        <v>10</v>
      </c>
      <c r="D44" s="168">
        <f>SUMIF('Phan tich KL VL,NC,M'!C$37:C$83,B44,'Phan tich KL VL,NC,M'!G$37:G$83)</f>
        <v>25.693328</v>
      </c>
      <c r="E44" s="168">
        <f>'Gia NC,CM'!P8</f>
        <v>218559.2</v>
      </c>
      <c r="F44" s="169">
        <f>D44*E44</f>
        <v>5615513.213017601</v>
      </c>
    </row>
    <row r="45" spans="1:6" ht="15">
      <c r="A45" s="12" t="s">
        <v>0</v>
      </c>
      <c r="B45" s="13" t="s">
        <v>0</v>
      </c>
      <c r="C45" s="13" t="s">
        <v>0</v>
      </c>
      <c r="D45" s="168">
        <f>SUMIF('Phan tich KL VL,NC,M'!C$37:C$83,B45,'Phan tich KL VL,NC,M'!G$37:G$83)</f>
        <v>0</v>
      </c>
      <c r="E45" s="168">
        <v>0</v>
      </c>
      <c r="F45" s="169"/>
    </row>
    <row r="46" spans="1:6" ht="15.75">
      <c r="A46" s="8" t="s">
        <v>0</v>
      </c>
      <c r="B46" s="9" t="s">
        <v>231</v>
      </c>
      <c r="C46" s="9" t="s">
        <v>0</v>
      </c>
      <c r="D46" s="166">
        <f>SUMIF('Phan tich KL VL,NC,M'!C$37:C$83,B46,'Phan tich KL VL,NC,M'!G$37:G$83)</f>
        <v>0</v>
      </c>
      <c r="E46" s="166">
        <v>0</v>
      </c>
      <c r="F46" s="167">
        <f>SUM(F47:F57)</f>
        <v>19640968.0044512</v>
      </c>
    </row>
    <row r="47" spans="1:6" ht="15">
      <c r="A47" s="12" t="s">
        <v>0</v>
      </c>
      <c r="B47" s="13" t="s">
        <v>0</v>
      </c>
      <c r="C47" s="13" t="s">
        <v>0</v>
      </c>
      <c r="D47" s="168">
        <f>SUMIF('Phan tich KL VL,NC,M'!C$37:C$83,B47,'Phan tich KL VL,NC,M'!G$37:G$83)</f>
        <v>0</v>
      </c>
      <c r="E47" s="168">
        <v>0</v>
      </c>
      <c r="F47" s="169"/>
    </row>
    <row r="48" spans="1:6" ht="15">
      <c r="A48" s="12" t="s">
        <v>181</v>
      </c>
      <c r="B48" s="13" t="s">
        <v>182</v>
      </c>
      <c r="C48" s="13" t="s">
        <v>181</v>
      </c>
      <c r="D48" s="168">
        <f>100</f>
        <v>100</v>
      </c>
      <c r="E48" s="168">
        <v>558.33209</v>
      </c>
      <c r="F48" s="169">
        <f aca="true" t="shared" si="2" ref="F48:F54">D48*E48</f>
        <v>55833.209</v>
      </c>
    </row>
    <row r="49" spans="1:6" ht="15">
      <c r="A49" s="12" t="s">
        <v>21</v>
      </c>
      <c r="B49" s="13" t="s">
        <v>60</v>
      </c>
      <c r="C49" s="13" t="s">
        <v>12</v>
      </c>
      <c r="D49" s="168">
        <f>SUMIF('Phan tich KL VL,NC,M'!C$37:C$83,B49,'Phan tich KL VL,NC,M'!G$37:G$83)</f>
        <v>1.4761739999999999</v>
      </c>
      <c r="E49" s="168">
        <f>'Gia NC,CM'!P12</f>
        <v>1608576</v>
      </c>
      <c r="F49" s="169">
        <f t="shared" si="2"/>
        <v>2374538.068224</v>
      </c>
    </row>
    <row r="50" spans="1:6" ht="15">
      <c r="A50" s="12" t="s">
        <v>29</v>
      </c>
      <c r="B50" s="13" t="s">
        <v>43</v>
      </c>
      <c r="C50" s="13" t="s">
        <v>12</v>
      </c>
      <c r="D50" s="168">
        <f>SUMIF('Phan tich KL VL,NC,M'!C$37:C$83,B50,'Phan tich KL VL,NC,M'!G$37:G$83)</f>
        <v>2.0547400000000002</v>
      </c>
      <c r="E50" s="168">
        <f>'Gia NC,CM'!P14</f>
        <v>3513290.7</v>
      </c>
      <c r="F50" s="169">
        <f t="shared" si="2"/>
        <v>7218898.932918001</v>
      </c>
    </row>
    <row r="51" spans="1:6" ht="15">
      <c r="A51" s="12" t="s">
        <v>39</v>
      </c>
      <c r="B51" s="13" t="s">
        <v>52</v>
      </c>
      <c r="C51" s="13" t="s">
        <v>12</v>
      </c>
      <c r="D51" s="168">
        <f>SUMIF('Phan tich KL VL,NC,M'!C$37:C$83,B51,'Phan tich KL VL,NC,M'!G$37:G$83)</f>
        <v>1.150952</v>
      </c>
      <c r="E51" s="168">
        <f>'Gia NC,CM'!P15</f>
        <v>3780222.9</v>
      </c>
      <c r="F51" s="169">
        <f t="shared" si="2"/>
        <v>4350855.1072007995</v>
      </c>
    </row>
    <row r="52" spans="1:6" ht="15">
      <c r="A52" s="12" t="s">
        <v>44</v>
      </c>
      <c r="B52" s="13" t="s">
        <v>13</v>
      </c>
      <c r="C52" s="13" t="s">
        <v>12</v>
      </c>
      <c r="D52" s="168">
        <f>SUMIF('Phan tich KL VL,NC,M'!C$37:C$83,B52,'Phan tich KL VL,NC,M'!G$37:G$83)</f>
        <v>1.005732</v>
      </c>
      <c r="E52" s="168">
        <f>'Gia NC,CM'!P18</f>
        <v>1825900</v>
      </c>
      <c r="F52" s="169">
        <f t="shared" si="2"/>
        <v>1836366.0588000002</v>
      </c>
    </row>
    <row r="53" spans="1:6" ht="15">
      <c r="A53" s="12" t="s">
        <v>48</v>
      </c>
      <c r="B53" s="13" t="s">
        <v>69</v>
      </c>
      <c r="C53" s="13" t="s">
        <v>12</v>
      </c>
      <c r="D53" s="168">
        <f>SUMIF('Phan tich KL VL,NC,M'!C$37:C$83,B53,'Phan tich KL VL,NC,M'!G$37:G$83)</f>
        <v>1.098636</v>
      </c>
      <c r="E53" s="168">
        <f>'Gia NC,CM'!P19</f>
        <v>1769387.4</v>
      </c>
      <c r="F53" s="169">
        <f t="shared" si="2"/>
        <v>1943912.6955863999</v>
      </c>
    </row>
    <row r="54" spans="1:6" ht="15">
      <c r="A54" s="12" t="s">
        <v>53</v>
      </c>
      <c r="B54" s="13" t="s">
        <v>78</v>
      </c>
      <c r="C54" s="13" t="s">
        <v>12</v>
      </c>
      <c r="D54" s="168">
        <f>SUMIF('Phan tich KL VL,NC,M'!C$37:C$83,B54,'Phan tich KL VL,NC,M'!G$37:G$83)</f>
        <v>1.05153</v>
      </c>
      <c r="E54" s="168">
        <f>'Gia NC,CM'!P20</f>
        <v>1769387.4</v>
      </c>
      <c r="F54" s="169">
        <f t="shared" si="2"/>
        <v>1860563.932722</v>
      </c>
    </row>
    <row r="55" spans="1:6" ht="15">
      <c r="A55" s="12" t="s">
        <v>0</v>
      </c>
      <c r="B55" s="13" t="s">
        <v>0</v>
      </c>
      <c r="C55" s="13" t="s">
        <v>0</v>
      </c>
      <c r="D55" s="168">
        <f>SUMIF('Phan tich KL VL,NC,M'!C$37:C$83,B55,'Phan tich KL VL,NC,M'!G$37:G$83)</f>
        <v>0</v>
      </c>
      <c r="E55" s="168">
        <v>0</v>
      </c>
      <c r="F55" s="169"/>
    </row>
    <row r="56" spans="1:6" ht="15.75">
      <c r="A56" s="8" t="s">
        <v>0</v>
      </c>
      <c r="B56" s="9" t="s">
        <v>79</v>
      </c>
      <c r="C56" s="9" t="s">
        <v>0</v>
      </c>
      <c r="D56" s="166">
        <f>SUMIF('Phan tich KL VL,NC,M'!C$83:C$104,B56,'Phan tich KL VL,NC,M'!G$83:G$104)</f>
        <v>0</v>
      </c>
      <c r="E56" s="166">
        <v>0</v>
      </c>
      <c r="F56" s="167"/>
    </row>
    <row r="57" spans="1:6" ht="15">
      <c r="A57" s="12" t="s">
        <v>0</v>
      </c>
      <c r="B57" s="13" t="s">
        <v>0</v>
      </c>
      <c r="C57" s="13" t="s">
        <v>0</v>
      </c>
      <c r="D57" s="168">
        <f>SUMIF('Phan tich KL VL,NC,M'!C$83:C$104,B57,'Phan tich KL VL,NC,M'!G$83:G$104)</f>
        <v>0</v>
      </c>
      <c r="E57" s="168">
        <v>0</v>
      </c>
      <c r="F57" s="169"/>
    </row>
    <row r="58" spans="1:6" ht="15.75">
      <c r="A58" s="8" t="s">
        <v>0</v>
      </c>
      <c r="B58" s="9" t="s">
        <v>233</v>
      </c>
      <c r="C58" s="9" t="s">
        <v>0</v>
      </c>
      <c r="D58" s="166">
        <f>SUMIF('Phan tich KL VL,NC,M'!C$83:C$104,B58,'Phan tich KL VL,NC,M'!G$83:G$104)</f>
        <v>0</v>
      </c>
      <c r="E58" s="166">
        <v>0</v>
      </c>
      <c r="F58" s="167">
        <f>SUM(F59:F60)</f>
        <v>0</v>
      </c>
    </row>
    <row r="59" spans="1:6" ht="15">
      <c r="A59" s="12" t="s">
        <v>0</v>
      </c>
      <c r="B59" s="13" t="s">
        <v>0</v>
      </c>
      <c r="C59" s="13" t="s">
        <v>0</v>
      </c>
      <c r="D59" s="168">
        <f>SUMIF('Phan tich KL VL,NC,M'!C$83:C$104,B59,'Phan tich KL VL,NC,M'!G$83:G$104)</f>
        <v>0</v>
      </c>
      <c r="E59" s="168">
        <v>0</v>
      </c>
      <c r="F59" s="169"/>
    </row>
    <row r="60" spans="1:6" ht="15">
      <c r="A60" s="12" t="s">
        <v>0</v>
      </c>
      <c r="B60" s="13" t="s">
        <v>0</v>
      </c>
      <c r="C60" s="13" t="s">
        <v>0</v>
      </c>
      <c r="D60" s="168">
        <f>SUMIF('Phan tich KL VL,NC,M'!C$83:C$104,B60,'Phan tich KL VL,NC,M'!G$83:G$104)</f>
        <v>0</v>
      </c>
      <c r="E60" s="168">
        <v>0</v>
      </c>
      <c r="F60" s="169"/>
    </row>
    <row r="61" spans="1:6" ht="15.75">
      <c r="A61" s="8" t="s">
        <v>0</v>
      </c>
      <c r="B61" s="9" t="s">
        <v>232</v>
      </c>
      <c r="C61" s="9" t="s">
        <v>0</v>
      </c>
      <c r="D61" s="166">
        <f>SUMIF('Phan tich KL VL,NC,M'!C$83:C$104,B61,'Phan tich KL VL,NC,M'!G$83:G$104)</f>
        <v>0</v>
      </c>
      <c r="E61" s="166">
        <v>0</v>
      </c>
      <c r="F61" s="167">
        <f>SUM(F62:F64)</f>
        <v>69938.944</v>
      </c>
    </row>
    <row r="62" spans="1:6" ht="15">
      <c r="A62" s="12" t="s">
        <v>0</v>
      </c>
      <c r="B62" s="13" t="s">
        <v>0</v>
      </c>
      <c r="C62" s="13" t="s">
        <v>0</v>
      </c>
      <c r="D62" s="168">
        <f>SUMIF('Phan tich KL VL,NC,M'!C$83:C$104,B62,'Phan tich KL VL,NC,M'!G$83:G$104)</f>
        <v>0</v>
      </c>
      <c r="E62" s="168">
        <v>0</v>
      </c>
      <c r="F62" s="169"/>
    </row>
    <row r="63" spans="1:6" ht="15">
      <c r="A63" s="12" t="s">
        <v>2</v>
      </c>
      <c r="B63" s="13" t="s">
        <v>9</v>
      </c>
      <c r="C63" s="13" t="s">
        <v>10</v>
      </c>
      <c r="D63" s="168">
        <f>SUMIF('Phan tich KL VL,NC,M'!C$83:C$104,B63,'Phan tich KL VL,NC,M'!G$83:G$104)</f>
        <v>0.32</v>
      </c>
      <c r="E63" s="168">
        <f>'Gia NC,CM'!P8</f>
        <v>218559.2</v>
      </c>
      <c r="F63" s="169">
        <f>D63*E63</f>
        <v>69938.944</v>
      </c>
    </row>
    <row r="64" spans="1:6" ht="15">
      <c r="A64" s="12" t="s">
        <v>0</v>
      </c>
      <c r="B64" s="13" t="s">
        <v>0</v>
      </c>
      <c r="C64" s="13" t="s">
        <v>0</v>
      </c>
      <c r="D64" s="168">
        <f>SUMIF('Phan tich KL VL,NC,M'!C$83:C$104,B64,'Phan tich KL VL,NC,M'!G$83:G$104)</f>
        <v>0</v>
      </c>
      <c r="E64" s="168">
        <v>0</v>
      </c>
      <c r="F64" s="169"/>
    </row>
    <row r="65" spans="1:6" ht="15.75">
      <c r="A65" s="8" t="s">
        <v>0</v>
      </c>
      <c r="B65" s="9" t="s">
        <v>231</v>
      </c>
      <c r="C65" s="9" t="s">
        <v>0</v>
      </c>
      <c r="D65" s="166">
        <f>SUMIF('Phan tich KL VL,NC,M'!C$83:C$104,B65,'Phan tich KL VL,NC,M'!G$83:G$104)</f>
        <v>0</v>
      </c>
      <c r="E65" s="166">
        <v>0</v>
      </c>
      <c r="F65" s="167">
        <f>SUM(F66:F67)</f>
        <v>116779.5684</v>
      </c>
    </row>
    <row r="66" spans="1:6" ht="15">
      <c r="A66" s="12" t="s">
        <v>0</v>
      </c>
      <c r="B66" s="13" t="s">
        <v>0</v>
      </c>
      <c r="C66" s="13" t="s">
        <v>0</v>
      </c>
      <c r="D66" s="168">
        <f>SUMIF('Phan tich KL VL,NC,M'!C$83:C$104,B66,'Phan tich KL VL,NC,M'!G$83:G$104)</f>
        <v>0</v>
      </c>
      <c r="E66" s="168">
        <v>0</v>
      </c>
      <c r="F66" s="169"/>
    </row>
    <row r="67" spans="1:6" ht="15.75" thickBot="1">
      <c r="A67" s="16" t="s">
        <v>14</v>
      </c>
      <c r="B67" s="17" t="s">
        <v>78</v>
      </c>
      <c r="C67" s="17" t="s">
        <v>12</v>
      </c>
      <c r="D67" s="170">
        <f>SUMIF('Phan tich KL VL,NC,M'!C$83:C$104,B67,'Phan tich KL VL,NC,M'!G$83:G$104)</f>
        <v>0.066</v>
      </c>
      <c r="E67" s="170">
        <f>'Gia NC,CM'!P20</f>
        <v>1769387.4</v>
      </c>
      <c r="F67" s="171">
        <f>D67*E67</f>
        <v>116779.5684</v>
      </c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2023-09-15T03:41:49Z</cp:lastPrinted>
  <dcterms:created xsi:type="dcterms:W3CDTF">2023-08-28T16:02:12Z</dcterms:created>
  <dcterms:modified xsi:type="dcterms:W3CDTF">2023-09-18T01:43:42Z</dcterms:modified>
  <cp:category/>
  <cp:version/>
  <cp:contentType/>
  <cp:contentStatus/>
</cp:coreProperties>
</file>