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185" windowHeight="7275" activeTab="0"/>
  </bookViews>
  <sheets>
    <sheet name="LCNT" sheetId="1" r:id="rId1"/>
    <sheet name="Tong du toan" sheetId="2" r:id="rId2"/>
    <sheet name="CP Xay lap" sheetId="3" r:id="rId3"/>
    <sheet name="Du toan chi tiet" sheetId="4" r:id="rId4"/>
    <sheet name="Phan tich don gia" sheetId="5" r:id="rId5"/>
    <sheet name="Gia NC,CM" sheetId="6" r:id="rId6"/>
    <sheet name="Gia VL" sheetId="7" r:id="rId7"/>
    <sheet name="KL,Tien luong" sheetId="8" r:id="rId8"/>
    <sheet name="Tong hop KL VL,NC,M" sheetId="9" r:id="rId9"/>
    <sheet name="Phan tich KL VL,NC,M" sheetId="10" r:id="rId10"/>
  </sheets>
  <definedNames>
    <definedName name="_xlnm.Print_Titles" localSheetId="2">'CP Xay lap'!$7:$7</definedName>
    <definedName name="_xlnm.Print_Titles" localSheetId="3">'Du toan chi tiet'!$7:$8</definedName>
    <definedName name="_xlnm.Print_Titles" localSheetId="5">'Gia NC,CM'!$7:$7</definedName>
    <definedName name="_xlnm.Print_Titles" localSheetId="6">'Gia VL'!$7:$7</definedName>
    <definedName name="_xlnm.Print_Titles" localSheetId="7">'KL,Tien luong'!$7:$7</definedName>
    <definedName name="_xlnm.Print_Titles" localSheetId="4">'Phan tich don gia'!$7:$7</definedName>
    <definedName name="_xlnm.Print_Titles" localSheetId="9">'Phan tich KL VL,NC,M'!$7:$7</definedName>
    <definedName name="_xlnm.Print_Titles" localSheetId="1">'Tong du toan'!$11:$11</definedName>
    <definedName name="_xlnm.Print_Titles" localSheetId="8">'Tong hop KL VL,NC,M'!$7:$7</definedName>
  </definedNames>
  <calcPr fullCalcOnLoad="1"/>
</workbook>
</file>

<file path=xl/sharedStrings.xml><?xml version="1.0" encoding="utf-8"?>
<sst xmlns="http://schemas.openxmlformats.org/spreadsheetml/2006/main" count="3703" uniqueCount="538">
  <si>
    <t/>
  </si>
  <si>
    <t>*\1- §iÖn chiÕu s¸ng:</t>
  </si>
  <si>
    <t>1</t>
  </si>
  <si>
    <t>AB.25103</t>
  </si>
  <si>
    <t>§µo mãng cét ®Ìn, tñ ®iÖn b»ng m¸y ®µo &lt;= 0.4m3</t>
  </si>
  <si>
    <t>1 m3</t>
  </si>
  <si>
    <t>§Êt cÊp III</t>
  </si>
  <si>
    <t xml:space="preserve">   - Nh©n c«ng bËc 3.0/7N1</t>
  </si>
  <si>
    <t>C«ng</t>
  </si>
  <si>
    <t xml:space="preserve">   - M¸y ®µo 0.4m3</t>
  </si>
  <si>
    <t>Ca</t>
  </si>
  <si>
    <t>2</t>
  </si>
  <si>
    <t>AB.11503</t>
  </si>
  <si>
    <t>§µo kªnh r·nh tiÕp ®Þa b»ng thñ c«ng</t>
  </si>
  <si>
    <t>3</t>
  </si>
  <si>
    <t>AF.11110</t>
  </si>
  <si>
    <t>Bª t«ng ®¸ d¨m lãt mãng</t>
  </si>
  <si>
    <t>V÷a bª t«ng ®¸ 4x6 M100</t>
  </si>
  <si>
    <t xml:space="preserve">   - Xi m¨ng PCB30</t>
  </si>
  <si>
    <t>Kg</t>
  </si>
  <si>
    <t xml:space="preserve">   - C¸t ®óc</t>
  </si>
  <si>
    <t>m3</t>
  </si>
  <si>
    <t xml:space="preserve">   - §¸ d¨m 4x6</t>
  </si>
  <si>
    <t xml:space="preserve">   - N­íc</t>
  </si>
  <si>
    <t xml:space="preserve">   - Nh©n c«ng bËc 3.0/7N2</t>
  </si>
  <si>
    <t xml:space="preserve">   - M¸y trén BT 250 l</t>
  </si>
  <si>
    <t xml:space="preserve">   - M¸y ®Çm bµn 1KW</t>
  </si>
  <si>
    <t>4</t>
  </si>
  <si>
    <t>AF.11231</t>
  </si>
  <si>
    <t>Bª t«ng mãng</t>
  </si>
  <si>
    <t>V÷a bª t«ng ®¸ 2x4M150</t>
  </si>
  <si>
    <t xml:space="preserve">   - Xi m¨ng PCB40</t>
  </si>
  <si>
    <t xml:space="preserve">   - §¸ d¨m 2x4</t>
  </si>
  <si>
    <t xml:space="preserve">   - M¸y ®Çm dïi 1.5KW</t>
  </si>
  <si>
    <t>5</t>
  </si>
  <si>
    <t>AF.11212</t>
  </si>
  <si>
    <t>Bª t«ng chÌn mãng</t>
  </si>
  <si>
    <t>V÷a bª t«ng ®¸ 1x2 M200</t>
  </si>
  <si>
    <t xml:space="preserve">   - §¸ d¨m 1x2</t>
  </si>
  <si>
    <t>6</t>
  </si>
  <si>
    <t>AF.81122</t>
  </si>
  <si>
    <t>V¸n khu«n mãng cét</t>
  </si>
  <si>
    <t>1 m2</t>
  </si>
  <si>
    <t xml:space="preserve">   - Gç v¸n</t>
  </si>
  <si>
    <t xml:space="preserve">   - Gç ®µ nÑp</t>
  </si>
  <si>
    <t xml:space="preserve">   - Gç chèng</t>
  </si>
  <si>
    <t xml:space="preserve">   - §inh</t>
  </si>
  <si>
    <t xml:space="preserve">   - Nh©n c«ng bËc 3.5/7N2</t>
  </si>
  <si>
    <t>7</t>
  </si>
  <si>
    <t>AB.65110</t>
  </si>
  <si>
    <t>§¾p ®Êt hè mãng, r·nh tiÕp ®Þa</t>
  </si>
  <si>
    <t>§é chÆt yªu cÇu K=0.85</t>
  </si>
  <si>
    <t xml:space="preserve">   - M¸y ®Çm ®Êt cÇm tay 70kg</t>
  </si>
  <si>
    <t>8</t>
  </si>
  <si>
    <t>BA.21201</t>
  </si>
  <si>
    <t>L¾p dùng cét BTLT NPC.I-8,5-160-3</t>
  </si>
  <si>
    <t>1 Cét</t>
  </si>
  <si>
    <t xml:space="preserve">   - Cét BTLT NPC.I-8,5-160-3</t>
  </si>
  <si>
    <t>Cét</t>
  </si>
  <si>
    <t xml:space="preserve">   - CÇn trôc « t« 3T</t>
  </si>
  <si>
    <t>9</t>
  </si>
  <si>
    <t>BA.21201A</t>
  </si>
  <si>
    <t>L¾p dùng cét BTLT NPC.I-8,5-160-4,3</t>
  </si>
  <si>
    <t xml:space="preserve">   - Cét BTLT NPC.I-8,5-160-4,3</t>
  </si>
  <si>
    <t>10</t>
  </si>
  <si>
    <t>BA.21201c</t>
  </si>
  <si>
    <t>L¾p dùng cét BTLT NPC.I-10-190-4,3</t>
  </si>
  <si>
    <t xml:space="preserve">   - Cét BTLT NPC.I-10-190-4,3</t>
  </si>
  <si>
    <t>11</t>
  </si>
  <si>
    <t>BA.21201d</t>
  </si>
  <si>
    <t>L¾p dùng cét BTLT NPC.I-10-190-5</t>
  </si>
  <si>
    <t xml:space="preserve">   - Cét BTLT NPC.I-10-190-5</t>
  </si>
  <si>
    <t>12</t>
  </si>
  <si>
    <t>BA.23202a</t>
  </si>
  <si>
    <t>L¾p ®Æt cÇn ®Ìn ch÷ S - CÇn C§-2</t>
  </si>
  <si>
    <t>1 CÇn</t>
  </si>
  <si>
    <t xml:space="preserve">   - CÇn ®Ìn ch÷ S - CÇn C§-2</t>
  </si>
  <si>
    <t>Bé</t>
  </si>
  <si>
    <t xml:space="preserve">   - Tay b¾t cÇn</t>
  </si>
  <si>
    <t>C¸i</t>
  </si>
  <si>
    <t xml:space="preserve">   - Xe n©ng 12m</t>
  </si>
  <si>
    <t>13</t>
  </si>
  <si>
    <t>BA.23202b</t>
  </si>
  <si>
    <t>L¾p ®Æt cÇn ®Ìn ch÷ S - CÇn C§-3</t>
  </si>
  <si>
    <t xml:space="preserve">   - CÇn ®Ìn ch÷ S - CÇn C§-3</t>
  </si>
  <si>
    <t>14</t>
  </si>
  <si>
    <t>BA.23301</t>
  </si>
  <si>
    <t>L¾p ®Ìn chiÕu s¸ng ®­êng phè Led 120W</t>
  </si>
  <si>
    <t>1 Bé</t>
  </si>
  <si>
    <t xml:space="preserve">   - §Ìn chiÕu s¸ng ®­êng phè Led 120W</t>
  </si>
  <si>
    <t>15</t>
  </si>
  <si>
    <t>BA.37201</t>
  </si>
  <si>
    <t>L¾p ®Æt tñ ®iÖn chiÕu s¸ng</t>
  </si>
  <si>
    <t>1 tñ</t>
  </si>
  <si>
    <t xml:space="preserve">   - Tñ ®iÖn chiÕu s¸ng PLC</t>
  </si>
  <si>
    <t xml:space="preserve">   - Xµ ®ë tñ ®iÖn chiÕu s¸ng</t>
  </si>
  <si>
    <t xml:space="preserve">   - G«ng gi÷ tñ ®iÖn chiÕu s¸ng</t>
  </si>
  <si>
    <t>16</t>
  </si>
  <si>
    <t>BA.25301</t>
  </si>
  <si>
    <t>L¾p ®Æt tiÕp ®Þa lÆp l¹i R2LL</t>
  </si>
  <si>
    <t xml:space="preserve">   - ThÐp tiÕp ®Þa m¹ kÏm</t>
  </si>
  <si>
    <t xml:space="preserve">   - §Çu cèt Ðp M10</t>
  </si>
  <si>
    <t xml:space="preserve">   - D©y ®ång trÇn M10</t>
  </si>
  <si>
    <t>m</t>
  </si>
  <si>
    <t xml:space="preserve">   - M¸y hµn 23KW</t>
  </si>
  <si>
    <t xml:space="preserve">   - Xe n©ng 9m</t>
  </si>
  <si>
    <t>17</t>
  </si>
  <si>
    <t>BA.25101</t>
  </si>
  <si>
    <t>L¾p ®Æt tiÕp ®Þa T§CS</t>
  </si>
  <si>
    <t xml:space="preserve">   - TiÕp ®Þa T§CS</t>
  </si>
  <si>
    <t>18</t>
  </si>
  <si>
    <t>BA.31001</t>
  </si>
  <si>
    <t>KÐo d©y, c¸p chiÕu s¸ng</t>
  </si>
  <si>
    <t>1 m</t>
  </si>
  <si>
    <t>LV-ABC-XLPE-4x25-0,6/1kV</t>
  </si>
  <si>
    <t xml:space="preserve">   - D©y LV-ABC-XLPE-4x25-0,6/1kV</t>
  </si>
  <si>
    <t>19</t>
  </si>
  <si>
    <t>BA.36201</t>
  </si>
  <si>
    <t>Luån d©y c¸p lªn ®Ìn CVV3x1,5</t>
  </si>
  <si>
    <t xml:space="preserve">   - C¸p lªn ®Ìn CVV3x1,5</t>
  </si>
  <si>
    <t>20</t>
  </si>
  <si>
    <t>TT.TB§N</t>
  </si>
  <si>
    <t>ThiÕt bÞ ®Êu nèi</t>
  </si>
  <si>
    <t>bé</t>
  </si>
  <si>
    <t xml:space="preserve">   - èng nhùa xo¾n HDPE F65/50</t>
  </si>
  <si>
    <t xml:space="preserve">   - §Çu cèt Ðp M25</t>
  </si>
  <si>
    <t>c¸i</t>
  </si>
  <si>
    <t xml:space="preserve">   - C¸p CXV 4x25 - 0,6/1kV</t>
  </si>
  <si>
    <t>21</t>
  </si>
  <si>
    <t>TT.ABC§N</t>
  </si>
  <si>
    <t>ThiÕt bÞ treo c¸p chiÕu s¸ng ABC§N</t>
  </si>
  <si>
    <t xml:space="preserve">   - Chi tiÕt gi¸ mãc</t>
  </si>
  <si>
    <t xml:space="preserve">   - Khãa nÐo c¸p</t>
  </si>
  <si>
    <t xml:space="preserve">   - Khoa ®ai thÐp A20</t>
  </si>
  <si>
    <t xml:space="preserve">   - §ai thÐp kh«ng rØ 20x0,4</t>
  </si>
  <si>
    <t xml:space="preserve">   - D©y buéc rót</t>
  </si>
  <si>
    <t>sîi</t>
  </si>
  <si>
    <t xml:space="preserve">   - N¾p bÞt ®Çu c¸p 35mm2</t>
  </si>
  <si>
    <t>22</t>
  </si>
  <si>
    <t>TT.ABC1CS</t>
  </si>
  <si>
    <t>ThiÕt bÞ treo c¸p chiÕu s¸ng ABC1CS</t>
  </si>
  <si>
    <t xml:space="preserve">   - Bulon mãc</t>
  </si>
  <si>
    <t xml:space="preserve">   - KÑp treo c¸p</t>
  </si>
  <si>
    <t>23</t>
  </si>
  <si>
    <t>TT.ABC3CS</t>
  </si>
  <si>
    <t>ThiÕt bÞ treo c¸p chiÕu s¸ng ABC3CS</t>
  </si>
  <si>
    <t xml:space="preserve">   - N¾p bÞt ®Çu c¸p</t>
  </si>
  <si>
    <t>24</t>
  </si>
  <si>
    <t>TT.ABC1CS-KH</t>
  </si>
  <si>
    <t>ThiÕt bÞ treo c¸p chiÕu s¸ng ®i kÕt hîp ABC1CS-KH</t>
  </si>
  <si>
    <t>25</t>
  </si>
  <si>
    <t>TT.ABC2CS-KH</t>
  </si>
  <si>
    <t>ThiÕt bÞ treo c¸p chiÕu s¸ng ®i kÕt hîp ABC2CS-KH</t>
  </si>
  <si>
    <t>26</t>
  </si>
  <si>
    <t>TT.ABC3CS-KH</t>
  </si>
  <si>
    <t>ThiÕt bÞ treo c¸p chiÕu s¸ng ®i kÕt hîp ABC3CS-KH</t>
  </si>
  <si>
    <t>27</t>
  </si>
  <si>
    <t>TT.ABC1CS-DC</t>
  </si>
  <si>
    <t>ThiÕt bÞ treo c¸p chiÕu s¸ng ABC1CS-DC</t>
  </si>
  <si>
    <t>28</t>
  </si>
  <si>
    <t>TT.ABC2§CS-DC</t>
  </si>
  <si>
    <t>ThiÕt bÞ treo c¸p chiÕu s¸ng ®i kÕt hîp ABC2§CS-DC</t>
  </si>
  <si>
    <t>29</t>
  </si>
  <si>
    <t>TT.KNIPC25</t>
  </si>
  <si>
    <t>KÑp nèi xuyªn c¸ch ®iÖn IPC25</t>
  </si>
  <si>
    <t xml:space="preserve">   - KÑp nèi xuyªn c¸ch ®iÖn IPC25</t>
  </si>
  <si>
    <t>30</t>
  </si>
  <si>
    <t>TT.§SC</t>
  </si>
  <si>
    <t>§¸nh sè cét</t>
  </si>
  <si>
    <t xml:space="preserve">   - §¸nh sè cét</t>
  </si>
  <si>
    <t>*\2- C­íc vËn chuyÓn:</t>
  </si>
  <si>
    <t>31</t>
  </si>
  <si>
    <t>AM.23111</t>
  </si>
  <si>
    <t>VËn chuyÓn c¸t x©y dùng = « t« tù ®æ 7T</t>
  </si>
  <si>
    <t>10m3/km</t>
  </si>
  <si>
    <t>Trong ph¹m vi &lt;=1km</t>
  </si>
  <si>
    <t xml:space="preserve">   - ¤ t« tù ®æ 7T</t>
  </si>
  <si>
    <t>32</t>
  </si>
  <si>
    <t>AM.23112</t>
  </si>
  <si>
    <t>Trong ph¹m vi &lt;=10km</t>
  </si>
  <si>
    <t>33</t>
  </si>
  <si>
    <t>AM.23113</t>
  </si>
  <si>
    <t>Trong ph¹m vi &lt;=60km</t>
  </si>
  <si>
    <t>34</t>
  </si>
  <si>
    <t>AM.23411</t>
  </si>
  <si>
    <t>VËn chuyÓn ®¸ d¨m c¸c lo¹i = « t« tù ®æ 7T</t>
  </si>
  <si>
    <t>35</t>
  </si>
  <si>
    <t>AM.23412</t>
  </si>
  <si>
    <t>36</t>
  </si>
  <si>
    <t>AM.23413</t>
  </si>
  <si>
    <t>37</t>
  </si>
  <si>
    <t>AM.24511</t>
  </si>
  <si>
    <t>V/chuyÓn thÐp c¸c lo¹i= « t« vËn t¶i thïng 7T</t>
  </si>
  <si>
    <t>10tÊn/km</t>
  </si>
  <si>
    <t xml:space="preserve">   - ¤ t« vËn t¶i thïng 7T</t>
  </si>
  <si>
    <t>38</t>
  </si>
  <si>
    <t>AM.24512</t>
  </si>
  <si>
    <t>39</t>
  </si>
  <si>
    <t>AM.24513</t>
  </si>
  <si>
    <t>40</t>
  </si>
  <si>
    <t>AM.24711</t>
  </si>
  <si>
    <t>V/chuyÓn gç c¸c lo¹i= « t« vËn t¶i thïng 7T</t>
  </si>
  <si>
    <t>41</t>
  </si>
  <si>
    <t>AM.24712</t>
  </si>
  <si>
    <t>42</t>
  </si>
  <si>
    <t>AM.24713</t>
  </si>
  <si>
    <t>43</t>
  </si>
  <si>
    <t>AM.11242</t>
  </si>
  <si>
    <t>Bèc xÕp vËt liÖu kh¸c b»ng thñ c«ng</t>
  </si>
  <si>
    <t>TÊn</t>
  </si>
  <si>
    <t>Bèc xuèng - Xi m¨ng bao</t>
  </si>
  <si>
    <t>44</t>
  </si>
  <si>
    <t>AM.11252</t>
  </si>
  <si>
    <t>Bèc xuèng - Gç c¸c lo¹i</t>
  </si>
  <si>
    <t>45</t>
  </si>
  <si>
    <t>AM.11282</t>
  </si>
  <si>
    <t>Bèc xuèng - ThÐp c¸c lo¹i</t>
  </si>
  <si>
    <t>G</t>
  </si>
  <si>
    <t>6.</t>
  </si>
  <si>
    <t>DP1</t>
  </si>
  <si>
    <t xml:space="preserve">  - Do yÕu tè khèi l­îng ph¸t sinh</t>
  </si>
  <si>
    <t xml:space="preserve"> DP1</t>
  </si>
  <si>
    <t>G5</t>
  </si>
  <si>
    <t>Chi phÝ dù phßng:</t>
  </si>
  <si>
    <t>5.</t>
  </si>
  <si>
    <t>K4</t>
  </si>
  <si>
    <t xml:space="preserve">  - Chi phÝ thÈm ®Þnh gi¸</t>
  </si>
  <si>
    <t>K3</t>
  </si>
  <si>
    <t xml:space="preserve">  - Chi phÝ thÈm tra phª duyÖt quyÕt to¸n</t>
  </si>
  <si>
    <t>K2</t>
  </si>
  <si>
    <t xml:space="preserve">  - Chi phÝ b¶o hiÓm c«ng tr×nh</t>
  </si>
  <si>
    <t>K1</t>
  </si>
  <si>
    <t xml:space="preserve">  - PhÝ thÈm ®Þnh BCKT-KT</t>
  </si>
  <si>
    <t xml:space="preserve"> K1+...+K4</t>
  </si>
  <si>
    <t>G4</t>
  </si>
  <si>
    <t>Chi phÝ kh¸c:</t>
  </si>
  <si>
    <t>4.</t>
  </si>
  <si>
    <t xml:space="preserve"> G1*2.566%</t>
  </si>
  <si>
    <t>TV5</t>
  </si>
  <si>
    <t xml:space="preserve">  - Gi¸m s¸t thi c«ng x©y dùng</t>
  </si>
  <si>
    <t>TV4</t>
  </si>
  <si>
    <t xml:space="preserve">  - Chi phÝ ThÈm tra dù to¸n</t>
  </si>
  <si>
    <t>TV3</t>
  </si>
  <si>
    <t xml:space="preserve">  - Chi phÝ ThÈm tra thiÕt kÕ</t>
  </si>
  <si>
    <t xml:space="preserve"> G1*5.8%</t>
  </si>
  <si>
    <t>TV2</t>
  </si>
  <si>
    <t xml:space="preserve">  - LËp b¸o c¸o kinh tÕ kü thuËt</t>
  </si>
  <si>
    <t>TV1</t>
  </si>
  <si>
    <t xml:space="preserve">  - Kh¶o s¸t x©y dùng</t>
  </si>
  <si>
    <t xml:space="preserve"> TV1+...+TV5</t>
  </si>
  <si>
    <t>G3</t>
  </si>
  <si>
    <t>Chi phÝ t­ vÊn ®Çu t­ x©y dùng:</t>
  </si>
  <si>
    <t>3.</t>
  </si>
  <si>
    <t>G2</t>
  </si>
  <si>
    <t>Chi phÝ qu¶n lý dù ¸n:</t>
  </si>
  <si>
    <t>2.</t>
  </si>
  <si>
    <t xml:space="preserve">   A1</t>
  </si>
  <si>
    <t>A1</t>
  </si>
  <si>
    <t xml:space="preserve">  -1- §iÖn chiÕu s¸ng:</t>
  </si>
  <si>
    <t>G1</t>
  </si>
  <si>
    <t>Chi phÝ x©y dùng:</t>
  </si>
  <si>
    <t>1.</t>
  </si>
  <si>
    <t xml:space="preserve"> G+VAT</t>
  </si>
  <si>
    <t>Gxd</t>
  </si>
  <si>
    <t>+ Chi phÝ x©y dùng sau thuÕ</t>
  </si>
  <si>
    <t>.</t>
  </si>
  <si>
    <t xml:space="preserve"> G*8%</t>
  </si>
  <si>
    <t>VAT</t>
  </si>
  <si>
    <t>+ ThuÕ gi¸ trÞ gia t¨ng</t>
  </si>
  <si>
    <t xml:space="preserve"> T+GT+TL</t>
  </si>
  <si>
    <t xml:space="preserve"> - Chi phÝ x©y dùng tr­íc thuÕ</t>
  </si>
  <si>
    <t>*</t>
  </si>
  <si>
    <t xml:space="preserve"> (T+GT)*5.5%</t>
  </si>
  <si>
    <t>TL</t>
  </si>
  <si>
    <t>+ Thu nhËp chÞu thuÕ tÝnh tr­íc</t>
  </si>
  <si>
    <t xml:space="preserve"> T*2.00%</t>
  </si>
  <si>
    <t>TT</t>
  </si>
  <si>
    <t xml:space="preserve">   Chi phÝ c«ng viÖc kh«ng x¸c ®Þnh KLTK</t>
  </si>
  <si>
    <t xml:space="preserve"> T*2.2%</t>
  </si>
  <si>
    <t>LT</t>
  </si>
  <si>
    <t xml:space="preserve">   Chi phÝ nhµ t¹m, nhµ ®iÒu hµnh thi c«ng</t>
  </si>
  <si>
    <t xml:space="preserve"> T*5.5%</t>
  </si>
  <si>
    <t>C</t>
  </si>
  <si>
    <t xml:space="preserve">   Chi phÝ chung</t>
  </si>
  <si>
    <t xml:space="preserve"> C+LT+TT</t>
  </si>
  <si>
    <t>GT</t>
  </si>
  <si>
    <t>+ Chi phÝ gi¸n tiÕp</t>
  </si>
  <si>
    <t xml:space="preserve">   M</t>
  </si>
  <si>
    <t>M</t>
  </si>
  <si>
    <t xml:space="preserve">   Chi phÝ m¸y thi c«ng</t>
  </si>
  <si>
    <t xml:space="preserve">   NC</t>
  </si>
  <si>
    <t>NC</t>
  </si>
  <si>
    <t xml:space="preserve">   Chi phÝ nh©n c«ng</t>
  </si>
  <si>
    <t xml:space="preserve">   VL</t>
  </si>
  <si>
    <t>VL</t>
  </si>
  <si>
    <t xml:space="preserve">   Chi phÝ vËt liÖu</t>
  </si>
  <si>
    <t xml:space="preserve"> VL+NC+M</t>
  </si>
  <si>
    <t>T</t>
  </si>
  <si>
    <t>+ Chi phÝ trùc tiÕp</t>
  </si>
  <si>
    <t xml:space="preserve"> 2</t>
  </si>
  <si>
    <t xml:space="preserve"> 1</t>
  </si>
  <si>
    <t>: 32=32.000</t>
  </si>
  <si>
    <t>: 80=80.000</t>
  </si>
  <si>
    <t>: 1=1.000</t>
  </si>
  <si>
    <t>: 3=3.000</t>
  </si>
  <si>
    <t>: 2=2.000</t>
  </si>
  <si>
    <t>: 22=22.000</t>
  </si>
  <si>
    <t>: 5=5.000</t>
  </si>
  <si>
    <t>: 242=242.000</t>
  </si>
  <si>
    <t>LV-ABC-XLPE-4x25-0,6/1kV: 1265=1265.000</t>
  </si>
  <si>
    <t>: 36=36.000</t>
  </si>
  <si>
    <t>: 14=14.000</t>
  </si>
  <si>
    <t>§é chÆt yªu cÇu K=0.85: 208.68=208.680</t>
  </si>
  <si>
    <t>: 105.12=105.120</t>
  </si>
  <si>
    <t>V÷a bª t«ng ®¸ 1x2 M200: 2.56=2.560</t>
  </si>
  <si>
    <t>V÷a bª t«ng ®¸ 2x4M150: 22.72=22.720</t>
  </si>
  <si>
    <t>V÷a bª t«ng ®¸ 4x6 M100: 4.8=4.800</t>
  </si>
  <si>
    <t>§Êt cÊp III: 16.2=16.200</t>
  </si>
  <si>
    <t>§Êt cÊp III: 222.56=222.560</t>
  </si>
  <si>
    <t>B- Nh©n c«ng :</t>
  </si>
  <si>
    <t>C- M¸y thi c«ng :</t>
  </si>
  <si>
    <t xml:space="preserve"> A- VËt liÖu :</t>
  </si>
  <si>
    <t xml:space="preserve"> B- Nh©n c«ng :</t>
  </si>
  <si>
    <t xml:space="preserve"> C- M¸y thi c«ng :</t>
  </si>
  <si>
    <t>%</t>
  </si>
  <si>
    <t xml:space="preserve">   - VËt liÖu kh¸c</t>
  </si>
  <si>
    <t>A- VËt liÖu :</t>
  </si>
  <si>
    <t>madm</t>
  </si>
  <si>
    <t>1x2/4N4</t>
  </si>
  <si>
    <t>31*Diezel</t>
  </si>
  <si>
    <t>M106.0105</t>
  </si>
  <si>
    <t>46*Diezel</t>
  </si>
  <si>
    <t>M106.0203</t>
  </si>
  <si>
    <t>1x1/4N4+1x3/4N4</t>
  </si>
  <si>
    <t>25*Diezel</t>
  </si>
  <si>
    <t>M102.1801</t>
  </si>
  <si>
    <t>1x3/7N4</t>
  </si>
  <si>
    <t>4*Xang</t>
  </si>
  <si>
    <t>M101.0803</t>
  </si>
  <si>
    <t>7*KWh</t>
  </si>
  <si>
    <t>M112.1301</t>
  </si>
  <si>
    <t>5*KWh</t>
  </si>
  <si>
    <t>M112.1101</t>
  </si>
  <si>
    <t>1x4/7N4</t>
  </si>
  <si>
    <t>43*Diezel</t>
  </si>
  <si>
    <t>M101.0101</t>
  </si>
  <si>
    <t>11*KWh</t>
  </si>
  <si>
    <t>M104.0102</t>
  </si>
  <si>
    <t>48*KWh</t>
  </si>
  <si>
    <t>M112.4003</t>
  </si>
  <si>
    <t>M102.0101</t>
  </si>
  <si>
    <t>252200.0</t>
  </si>
  <si>
    <t>230630.3</t>
  </si>
  <si>
    <t>218559.2</t>
  </si>
  <si>
    <t xml:space="preserve">     0</t>
  </si>
  <si>
    <t>- èng nhùa xo¾n HDPE F65/50</t>
  </si>
  <si>
    <t>- §Ìn chiÕu s¸ng ®­êng phè Led 120W</t>
  </si>
  <si>
    <t>- §Çu cèt Ðp M25</t>
  </si>
  <si>
    <t>- §Çu cèt Ðp M10</t>
  </si>
  <si>
    <t>- §¸nh sè cét</t>
  </si>
  <si>
    <t>C«ng tr×nh</t>
  </si>
  <si>
    <t xml:space="preserve">  AM.23413: « t« tù ®æ 7T, cù ly &lt;60km</t>
  </si>
  <si>
    <t xml:space="preserve">  AM.23412: « t« tù ®æ 7T, cù ly &lt;10km</t>
  </si>
  <si>
    <t>Tr­êng S¬n</t>
  </si>
  <si>
    <t xml:space="preserve">  AM.23411: « t« tù ®æ 7T, cù ly &lt;1km</t>
  </si>
  <si>
    <t xml:space="preserve">    13</t>
  </si>
  <si>
    <t>- §¸ d¨m 4x6</t>
  </si>
  <si>
    <t>- §¸ d¨m 2x4</t>
  </si>
  <si>
    <t>- §¸ d¨m 1x2</t>
  </si>
  <si>
    <t>- §inh</t>
  </si>
  <si>
    <t>- §ai thÐp kh«ng rØ 20x0,4</t>
  </si>
  <si>
    <t>- Xµ ®ë tñ ®iÖn chiÕu s¸ng</t>
  </si>
  <si>
    <t xml:space="preserve">  AM.11242: thñ c«ng - bèc xuèng xe</t>
  </si>
  <si>
    <t>- Xi m¨ng PCB40</t>
  </si>
  <si>
    <t>- Xi m¨ng PCB30</t>
  </si>
  <si>
    <t>- Tñ ®iÖn chiÕu s¸ng PLC</t>
  </si>
  <si>
    <t>- TiÕp ®Þa T§CS</t>
  </si>
  <si>
    <t>- ThÐp tiÕp ®Þa m¹ kÏm</t>
  </si>
  <si>
    <t>- Tay b¾t cÇn</t>
  </si>
  <si>
    <t>- N¾p bÞt ®Çu c¸p 35mm2</t>
  </si>
  <si>
    <t>- N¾p bÞt ®Çu c¸p</t>
  </si>
  <si>
    <t>- N­íc</t>
  </si>
  <si>
    <t>- KÑp treo c¸p</t>
  </si>
  <si>
    <t>- KÑp nèi xuyªn c¸ch ®iÖn IPC25</t>
  </si>
  <si>
    <t>- Khãa nÐo c¸p</t>
  </si>
  <si>
    <t>- Khoa ®ai thÐp A20</t>
  </si>
  <si>
    <t>- Gç ®µ nÑp</t>
  </si>
  <si>
    <t>- Gç v¸n</t>
  </si>
  <si>
    <t>- Gç chèng</t>
  </si>
  <si>
    <t>- G«ng gi÷ tñ ®iÖn chiÕu s¸ng</t>
  </si>
  <si>
    <t>- D©y ®ång trÇn M10</t>
  </si>
  <si>
    <t>- D©y LV-ABC-XLPE-4x25-0,6/1kV</t>
  </si>
  <si>
    <t>- D©y buéc rót</t>
  </si>
  <si>
    <t>- Cét BTLT NPC.I-8,5-160-4,3</t>
  </si>
  <si>
    <t>- Cét BTLT NPC.I-8,5-160-3</t>
  </si>
  <si>
    <t>- Cét BTLT NPC.I-10-190-5</t>
  </si>
  <si>
    <t>- Cét BTLT NPC.I-10-190-4,3</t>
  </si>
  <si>
    <t>- CÇn ®Ìn ch÷ S - CÇn C§-3</t>
  </si>
  <si>
    <t>- CÇn ®Ìn ch÷ S - CÇn C§-2</t>
  </si>
  <si>
    <t xml:space="preserve">  AM.23112: « t« tù ®æ 7T, cù ly &lt;10km</t>
  </si>
  <si>
    <t>§Æng TÊt</t>
  </si>
  <si>
    <t xml:space="preserve">  AM.23111: « t« tù ®æ 7T, cù ly &lt;1km</t>
  </si>
  <si>
    <t xml:space="preserve">     7</t>
  </si>
  <si>
    <t>- C¸t ®óc</t>
  </si>
  <si>
    <t>- C¸p lªn ®Ìn CVV3x1,5</t>
  </si>
  <si>
    <t>- C¸p CXV 4x25 - 0,6/1kV</t>
  </si>
  <si>
    <t>- Chi tiÕt gi¸ mãc</t>
  </si>
  <si>
    <t>- Bulon mãc</t>
  </si>
  <si>
    <t>*C - XE MAY</t>
  </si>
  <si>
    <t>*B - NH¢N C¤NG</t>
  </si>
  <si>
    <t>*A - V¢T LI£U</t>
  </si>
  <si>
    <t>54</t>
  </si>
  <si>
    <t>53</t>
  </si>
  <si>
    <t>52</t>
  </si>
  <si>
    <t>51</t>
  </si>
  <si>
    <t>50</t>
  </si>
  <si>
    <t>49</t>
  </si>
  <si>
    <t>48</t>
  </si>
  <si>
    <t>47</t>
  </si>
  <si>
    <t>46</t>
  </si>
  <si>
    <t>Céng hoµ x· héi chñ nghÜa ViÖt Nam</t>
  </si>
  <si>
    <t>§éc lËp - Tù do - H¹nh phóc</t>
  </si>
  <si>
    <t>=======@@@=======</t>
  </si>
  <si>
    <t>C«ng tr×nh: §IÖN CHIÕU S¸NG ®­êng lª ®øc thä, ph­êng h­¬ng xu©n</t>
  </si>
  <si>
    <t>§ÞA §IÓM: ph­êng H¦¥NG xu©n, THÞ X· H¦¥NG TRµ, TØNH THõA THI£N HUÕ</t>
  </si>
  <si>
    <t>H¹ng môc chi phÝ</t>
  </si>
  <si>
    <t>Ký
hiÖu</t>
  </si>
  <si>
    <t>C¸ch tÝnh</t>
  </si>
  <si>
    <t>Thµnh tiÒn
tr­íc thuÕ</t>
  </si>
  <si>
    <t>ThuÕ
VAT</t>
  </si>
  <si>
    <t>Thµnh tiÒn
sau thuÕ</t>
  </si>
  <si>
    <t>B¶ng tæng hîp chi phÝ x©y l¾p</t>
  </si>
  <si>
    <t>Thµnh tiÒn</t>
  </si>
  <si>
    <t>B¶ng dù to¸n chi tiÕt</t>
  </si>
  <si>
    <t>§¬n gi¸</t>
  </si>
  <si>
    <t>Sè hiÖu
®Þnh møc</t>
  </si>
  <si>
    <t>H¹ng môc c«ng t¸c</t>
  </si>
  <si>
    <t>§¬n
vÞ</t>
  </si>
  <si>
    <t>Khèi
l­îng</t>
  </si>
  <si>
    <t>VËt liÖu</t>
  </si>
  <si>
    <t>Nh©n c«ng</t>
  </si>
  <si>
    <t>Ca m¸y</t>
  </si>
  <si>
    <t>M¸y thi c«ng</t>
  </si>
  <si>
    <t>B¶ng ph©n tÝch ®¬n gi¸</t>
  </si>
  <si>
    <t>Sè hiÖu
§Þnh møc</t>
  </si>
  <si>
    <t>§¬n 
vÞ</t>
  </si>
  <si>
    <t>§Þnh møc</t>
  </si>
  <si>
    <t>B¶ng gi¸ nh©n c«ng vµ ca m¸y</t>
  </si>
  <si>
    <t>TT
M· m¸y</t>
  </si>
  <si>
    <t>Lo¹i nh©n c«ng
&amp; M¸y thi c«ng</t>
  </si>
  <si>
    <t>§¬n 
VÞ</t>
  </si>
  <si>
    <t>Sè
Ca/
n¨m</t>
  </si>
  <si>
    <t>§m
KhÊu
hao</t>
  </si>
  <si>
    <t>§m
S÷a
ch÷a</t>
  </si>
  <si>
    <t>§m
C.phÝ
kh¸c</t>
  </si>
  <si>
    <t>§Þnh møc
nhiªn liÖu</t>
  </si>
  <si>
    <t>Thµnh phÇn
bËc thî</t>
  </si>
  <si>
    <t>Gi¸ tÝnh
khÊu hao
(1000 ®)</t>
  </si>
  <si>
    <t>Chi phÝ
khÊu hao
VN§</t>
  </si>
  <si>
    <t>Chi phÝ
s÷a ch÷a
VN§</t>
  </si>
  <si>
    <t>Chi phÝ
nh. liÖu
n.l­îng</t>
  </si>
  <si>
    <t>Chi phÝ
l­¬ng
thî m¸y</t>
  </si>
  <si>
    <t>Chi phÝ
kh¸c
VN§</t>
  </si>
  <si>
    <t>§¬n gi¸
1 c«ng vµ
1 ca m¸y</t>
  </si>
  <si>
    <t>B¶ng tÝnh gi¸ vËt liÖu ®Õn ch©n c«ng tr×nh</t>
  </si>
  <si>
    <t>Tªn vËt liÖu</t>
  </si>
  <si>
    <t>§iÓm ®Çu</t>
  </si>
  <si>
    <t>§iÓm cuèi</t>
  </si>
  <si>
    <t>BËc
hµng</t>
  </si>
  <si>
    <t>Lo¹i
®­êng</t>
  </si>
  <si>
    <t>Cù
ly
lÎ</t>
  </si>
  <si>
    <t>Tæng
cù ly</t>
  </si>
  <si>
    <t>C­íc
vËn chuyÓn</t>
  </si>
  <si>
    <t>HÖ sè
®c.bËc
hµng</t>
  </si>
  <si>
    <t>HÖ sè
träng 
l­îng</t>
  </si>
  <si>
    <t>HÖ sè
n©ng
h¹ben</t>
  </si>
  <si>
    <t>Gi¸ c­íc
vËn chuyÓn</t>
  </si>
  <si>
    <t>C­íc
bèc dì</t>
  </si>
  <si>
    <t>Gi¸ th¸ng</t>
  </si>
  <si>
    <t>Gi¸ thµnh</t>
  </si>
  <si>
    <t>B¶ng tÝnh khèi l­îng - tiªn l­îng</t>
  </si>
  <si>
    <t>Sè
l­îng</t>
  </si>
  <si>
    <t>Dµi</t>
  </si>
  <si>
    <t>Réng</t>
  </si>
  <si>
    <t>Cao</t>
  </si>
  <si>
    <t>Sè phô</t>
  </si>
  <si>
    <t>C«ng thøc</t>
  </si>
  <si>
    <t>Khèi l­îng
chi tiÕt</t>
  </si>
  <si>
    <t>B¶ng tæng hîp khèi l­îng vµ chi phÝ VL,NC,M</t>
  </si>
  <si>
    <t>Lo¹i vËt liÖu...</t>
  </si>
  <si>
    <t>Khèi l­îng</t>
  </si>
  <si>
    <t>B¶ng ph©n tÝch khèi l­îng</t>
  </si>
  <si>
    <t xml:space="preserve"> G1*2.901%/1.08</t>
  </si>
  <si>
    <t>Tèi thiÓu</t>
  </si>
  <si>
    <t xml:space="preserve"> G1*0.25%</t>
  </si>
  <si>
    <t xml:space="preserve"> (G-G5)*0.57%</t>
  </si>
  <si>
    <t>T¹m tÝnh</t>
  </si>
  <si>
    <t>Tæng céng(1+2+3+4+5)</t>
  </si>
  <si>
    <t xml:space="preserve"> (G1+...+G5)</t>
  </si>
  <si>
    <t>§· thÈm tra</t>
  </si>
  <si>
    <t xml:space="preserve">KẾ HOẠCH LỰA CHỌN NHÀ THẦU </t>
  </si>
  <si>
    <t>(Kèm theo Quyết định số        /QĐ-UBND ngày         /      /2023 của UBND thị xã Hương Trà)</t>
  </si>
  <si>
    <t>Stt</t>
  </si>
  <si>
    <t>Tên gói thầu</t>
  </si>
  <si>
    <t>Giá gói thầu
(1000 đồng)</t>
  </si>
  <si>
    <t>Nguồn vốn</t>
  </si>
  <si>
    <t>Hình thức lựa chọn nhà thầu</t>
  </si>
  <si>
    <t>Phương thức lựa chọn nhà thầu</t>
  </si>
  <si>
    <t>Thời gian bắt đầu tổ chức lựa chọn nhà thầu</t>
  </si>
  <si>
    <t>Loại hợp đồng</t>
  </si>
  <si>
    <t>Thời gian thực hiện hợp đồng</t>
  </si>
  <si>
    <t>I</t>
  </si>
  <si>
    <t>Phần công việc đã thực hiện</t>
  </si>
  <si>
    <t>Gói thầu số 01: Khảo sát, lập báo cáo kinh tế kỹ thuật</t>
  </si>
  <si>
    <t>Đã thực hiện</t>
  </si>
  <si>
    <t>Gói thầu số 02: Thẩm tra thiết kế BVTC và dự toán</t>
  </si>
  <si>
    <t>II</t>
  </si>
  <si>
    <t>Phần công việc thuộc kế hoạch lựa chọn nhà thầu</t>
  </si>
  <si>
    <t xml:space="preserve">Gói thầu số 03: Toàn bộ phần xây lắp </t>
  </si>
  <si>
    <t>Chỉ định thầu</t>
  </si>
  <si>
    <t>Quý III/2023</t>
  </si>
  <si>
    <t>Trọn gói</t>
  </si>
  <si>
    <t>100 ngày</t>
  </si>
  <si>
    <t xml:space="preserve">Gói thầu số 04: Giám sát thi công </t>
  </si>
  <si>
    <t>Gói thầu số 05: Bảo hiểm công trình</t>
  </si>
  <si>
    <t>III</t>
  </si>
  <si>
    <t>Phần công việc không áp dụng được một trong các hình thức lựa chọn nhà thầu</t>
  </si>
  <si>
    <t>Quản lý dự án; Thẩm định BCKTKT; Thẩm tra, phê duyệt quyết toán; Thẩm định giá</t>
  </si>
  <si>
    <t>Chủ đầu tư và các cơ quan liên quan thực hiện</t>
  </si>
  <si>
    <t>IV</t>
  </si>
  <si>
    <t>Dự phòng</t>
  </si>
  <si>
    <t>Tổng cộng</t>
  </si>
  <si>
    <t>ĐVT: đồng.</t>
  </si>
  <si>
    <t>BẢNG TỔNG MỨC ĐẦU TƯ</t>
  </si>
  <si>
    <t xml:space="preserve"> A1</t>
  </si>
  <si>
    <t xml:space="preserve"> Dù phßng</t>
  </si>
  <si>
    <t>Bổ sung có mục tiêu của tỉnh 1.000 triệu đồng, phần còn lại ngân sách phường Hương Xuân</t>
  </si>
  <si>
    <t>(Kèm theo Quyết định số 1161/QĐ-UBND ngày 11/ 9/2023 của UBND thị xã Hương Trà)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</si>
</sst>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#,##0.0"/>
    <numFmt numFmtId="166" formatCode="#,##0.0000"/>
  </numFmts>
  <fonts count="66">
    <font>
      <sz val="12"/>
      <color theme="1"/>
      <name val=".VnTime"/>
      <family val="2"/>
    </font>
    <font>
      <sz val="12"/>
      <color indexed="8"/>
      <name val=".VnTime"/>
      <family val="2"/>
    </font>
    <font>
      <sz val="12"/>
      <name val=".VnTime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3"/>
      <color indexed="12"/>
      <name val=".VnTimeH"/>
      <family val="2"/>
    </font>
    <font>
      <sz val="14"/>
      <color indexed="12"/>
      <name val="Times New Roman"/>
      <family val="1"/>
    </font>
    <font>
      <i/>
      <sz val="14"/>
      <color indexed="12"/>
      <name val="Times New Roman"/>
      <family val="1"/>
    </font>
    <font>
      <b/>
      <sz val="11"/>
      <color indexed="8"/>
      <name val="Times New Roman"/>
      <family val="1"/>
    </font>
    <font>
      <sz val="12"/>
      <color indexed="9"/>
      <name val=".VnTime"/>
      <family val="2"/>
    </font>
    <font>
      <sz val="12"/>
      <color indexed="20"/>
      <name val=".VnTime"/>
      <family val="2"/>
    </font>
    <font>
      <b/>
      <sz val="12"/>
      <color indexed="52"/>
      <name val=".VnTime"/>
      <family val="2"/>
    </font>
    <font>
      <b/>
      <sz val="12"/>
      <color indexed="9"/>
      <name val=".VnTime"/>
      <family val="2"/>
    </font>
    <font>
      <i/>
      <sz val="12"/>
      <color indexed="23"/>
      <name val=".VnTime"/>
      <family val="2"/>
    </font>
    <font>
      <sz val="12"/>
      <color indexed="17"/>
      <name val=".VnTime"/>
      <family val="2"/>
    </font>
    <font>
      <b/>
      <sz val="15"/>
      <color indexed="54"/>
      <name val=".VnTime"/>
      <family val="2"/>
    </font>
    <font>
      <b/>
      <sz val="13"/>
      <color indexed="54"/>
      <name val=".VnTime"/>
      <family val="2"/>
    </font>
    <font>
      <b/>
      <sz val="11"/>
      <color indexed="54"/>
      <name val=".VnTime"/>
      <family val="2"/>
    </font>
    <font>
      <sz val="12"/>
      <color indexed="62"/>
      <name val=".VnTime"/>
      <family val="2"/>
    </font>
    <font>
      <sz val="12"/>
      <color indexed="52"/>
      <name val=".VnTime"/>
      <family val="2"/>
    </font>
    <font>
      <sz val="12"/>
      <color indexed="60"/>
      <name val=".VnTime"/>
      <family val="2"/>
    </font>
    <font>
      <b/>
      <sz val="12"/>
      <color indexed="63"/>
      <name val=".VnTime"/>
      <family val="2"/>
    </font>
    <font>
      <sz val="18"/>
      <color indexed="54"/>
      <name val="Calibri Light"/>
      <family val="2"/>
    </font>
    <font>
      <b/>
      <sz val="12"/>
      <color indexed="8"/>
      <name val=".VnTime"/>
      <family val="2"/>
    </font>
    <font>
      <sz val="12"/>
      <color indexed="10"/>
      <name val=".VnTime"/>
      <family val="2"/>
    </font>
    <font>
      <sz val="11"/>
      <color indexed="8"/>
      <name val=".VnTimeH"/>
      <family val="2"/>
    </font>
    <font>
      <sz val="11"/>
      <color indexed="8"/>
      <name val=".VnArial Narrow"/>
      <family val="2"/>
    </font>
    <font>
      <b/>
      <sz val="11"/>
      <color indexed="8"/>
      <name val=".VnArial Narrow"/>
      <family val="2"/>
    </font>
    <font>
      <sz val="10"/>
      <color indexed="8"/>
      <name val=".VnArial Narrow"/>
      <family val="2"/>
    </font>
    <font>
      <b/>
      <sz val="10"/>
      <color indexed="8"/>
      <name val=".VnArial Narrow"/>
      <family val="2"/>
    </font>
    <font>
      <u val="single"/>
      <sz val="11"/>
      <color indexed="8"/>
      <name val=".VnArial Narrow"/>
      <family val="2"/>
    </font>
    <font>
      <b/>
      <sz val="9"/>
      <color indexed="8"/>
      <name val=".VnArial Narrow"/>
      <family val="2"/>
    </font>
    <font>
      <b/>
      <sz val="11"/>
      <color indexed="8"/>
      <name val=".VnTimeH"/>
      <family val="2"/>
    </font>
    <font>
      <b/>
      <i/>
      <sz val="12"/>
      <color indexed="8"/>
      <name val=".VnTime"/>
      <family val="2"/>
    </font>
    <font>
      <b/>
      <sz val="13"/>
      <color indexed="8"/>
      <name val=".VnArialH"/>
      <family val="2"/>
    </font>
    <font>
      <i/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2"/>
      <color theme="0"/>
      <name val=".VnTime"/>
      <family val="2"/>
    </font>
    <font>
      <sz val="12"/>
      <color rgb="FF9C0006"/>
      <name val=".VnTime"/>
      <family val="2"/>
    </font>
    <font>
      <b/>
      <sz val="12"/>
      <color rgb="FFFA7D00"/>
      <name val=".VnTime"/>
      <family val="2"/>
    </font>
    <font>
      <b/>
      <sz val="12"/>
      <color theme="0"/>
      <name val=".VnTime"/>
      <family val="2"/>
    </font>
    <font>
      <i/>
      <sz val="12"/>
      <color rgb="FF7F7F7F"/>
      <name val=".VnTime"/>
      <family val="2"/>
    </font>
    <font>
      <sz val="12"/>
      <color rgb="FF006100"/>
      <name val=".VnTime"/>
      <family val="2"/>
    </font>
    <font>
      <b/>
      <sz val="15"/>
      <color theme="3"/>
      <name val=".VnTime"/>
      <family val="2"/>
    </font>
    <font>
      <b/>
      <sz val="13"/>
      <color theme="3"/>
      <name val=".VnTime"/>
      <family val="2"/>
    </font>
    <font>
      <b/>
      <sz val="11"/>
      <color theme="3"/>
      <name val=".VnTime"/>
      <family val="2"/>
    </font>
    <font>
      <sz val="12"/>
      <color rgb="FF3F3F76"/>
      <name val=".VnTime"/>
      <family val="2"/>
    </font>
    <font>
      <sz val="12"/>
      <color rgb="FFFA7D00"/>
      <name val=".VnTime"/>
      <family val="2"/>
    </font>
    <font>
      <sz val="12"/>
      <color rgb="FF9C6500"/>
      <name val=".VnTime"/>
      <family val="2"/>
    </font>
    <font>
      <b/>
      <sz val="12"/>
      <color rgb="FF3F3F3F"/>
      <name val=".VnTime"/>
      <family val="2"/>
    </font>
    <font>
      <sz val="18"/>
      <color theme="3"/>
      <name val="Calibri Light"/>
      <family val="2"/>
    </font>
    <font>
      <b/>
      <sz val="12"/>
      <color theme="1"/>
      <name val=".VnTime"/>
      <family val="2"/>
    </font>
    <font>
      <sz val="12"/>
      <color rgb="FFFF0000"/>
      <name val=".VnTime"/>
      <family val="2"/>
    </font>
    <font>
      <sz val="11"/>
      <color theme="1"/>
      <name val=".VnTimeH"/>
      <family val="2"/>
    </font>
    <font>
      <sz val="11"/>
      <color theme="1"/>
      <name val=".VnArial Narrow"/>
      <family val="2"/>
    </font>
    <font>
      <b/>
      <sz val="11"/>
      <color theme="1"/>
      <name val=".VnArial Narrow"/>
      <family val="2"/>
    </font>
    <font>
      <sz val="10"/>
      <color theme="1"/>
      <name val=".VnArial Narrow"/>
      <family val="2"/>
    </font>
    <font>
      <b/>
      <sz val="10"/>
      <color theme="1"/>
      <name val=".VnArial Narrow"/>
      <family val="2"/>
    </font>
    <font>
      <u val="single"/>
      <sz val="11"/>
      <color theme="1"/>
      <name val=".VnArial Narrow"/>
      <family val="2"/>
    </font>
    <font>
      <b/>
      <sz val="9"/>
      <color theme="1"/>
      <name val=".VnArial Narrow"/>
      <family val="2"/>
    </font>
    <font>
      <i/>
      <sz val="13"/>
      <color theme="1"/>
      <name val="Times New Roman"/>
      <family val="1"/>
    </font>
    <font>
      <b/>
      <i/>
      <sz val="12"/>
      <color theme="1"/>
      <name val=".VnTime"/>
      <family val="2"/>
    </font>
    <font>
      <b/>
      <sz val="13"/>
      <color theme="1"/>
      <name val="Times New Roman"/>
      <family val="1"/>
    </font>
    <font>
      <b/>
      <sz val="11"/>
      <color theme="1"/>
      <name val=".VnTimeH"/>
      <family val="2"/>
    </font>
    <font>
      <b/>
      <sz val="13"/>
      <color theme="1"/>
      <name val=".VnArialH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 style="medium"/>
      <bottom>
        <color indexed="63"/>
      </bottom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255">
    <xf numFmtId="0" fontId="0" fillId="0" borderId="0" xfId="0" applyAlignment="1">
      <alignment/>
    </xf>
    <xf numFmtId="165" fontId="52" fillId="0" borderId="0" xfId="0" applyNumberFormat="1" applyFont="1" applyAlignment="1">
      <alignment/>
    </xf>
    <xf numFmtId="0" fontId="52" fillId="0" borderId="0" xfId="0" applyFont="1" applyAlignment="1">
      <alignment/>
    </xf>
    <xf numFmtId="164" fontId="52" fillId="0" borderId="0" xfId="0" applyNumberFormat="1" applyFont="1" applyAlignment="1">
      <alignment/>
    </xf>
    <xf numFmtId="3" fontId="52" fillId="0" borderId="0" xfId="0" applyNumberFormat="1" applyFont="1" applyAlignment="1">
      <alignment/>
    </xf>
    <xf numFmtId="4" fontId="52" fillId="0" borderId="0" xfId="0" applyNumberFormat="1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52" fillId="0" borderId="10" xfId="0" applyFont="1" applyBorder="1" applyAlignment="1">
      <alignment/>
    </xf>
    <xf numFmtId="0" fontId="52" fillId="0" borderId="11" xfId="0" applyFont="1" applyBorder="1" applyAlignment="1">
      <alignment/>
    </xf>
    <xf numFmtId="3" fontId="52" fillId="0" borderId="11" xfId="0" applyNumberFormat="1" applyFont="1" applyBorder="1" applyAlignment="1">
      <alignment/>
    </xf>
    <xf numFmtId="3" fontId="52" fillId="0" borderId="12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3" fontId="0" fillId="0" borderId="11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3" fontId="0" fillId="0" borderId="14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0" fontId="52" fillId="0" borderId="16" xfId="0" applyFont="1" applyBorder="1" applyAlignment="1">
      <alignment/>
    </xf>
    <xf numFmtId="0" fontId="52" fillId="0" borderId="17" xfId="0" applyFont="1" applyBorder="1" applyAlignment="1">
      <alignment/>
    </xf>
    <xf numFmtId="3" fontId="52" fillId="0" borderId="17" xfId="0" applyNumberFormat="1" applyFont="1" applyBorder="1" applyAlignment="1">
      <alignment/>
    </xf>
    <xf numFmtId="3" fontId="52" fillId="0" borderId="18" xfId="0" applyNumberFormat="1" applyFont="1" applyBorder="1" applyAlignment="1">
      <alignment/>
    </xf>
    <xf numFmtId="0" fontId="0" fillId="0" borderId="0" xfId="0" applyFont="1" applyAlignment="1">
      <alignment horizontal="center"/>
    </xf>
    <xf numFmtId="0" fontId="52" fillId="0" borderId="16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52" fillId="0" borderId="10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52" fillId="0" borderId="17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52" fillId="0" borderId="11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52" fillId="0" borderId="0" xfId="0" applyFont="1" applyAlignment="1">
      <alignment horizontal="center"/>
    </xf>
    <xf numFmtId="0" fontId="52" fillId="0" borderId="19" xfId="0" applyFont="1" applyBorder="1" applyAlignment="1">
      <alignment horizontal="center" vertical="center"/>
    </xf>
    <xf numFmtId="0" fontId="52" fillId="0" borderId="20" xfId="0" applyFont="1" applyBorder="1" applyAlignment="1">
      <alignment horizontal="center" vertical="center"/>
    </xf>
    <xf numFmtId="0" fontId="52" fillId="0" borderId="20" xfId="0" applyFont="1" applyBorder="1" applyAlignment="1">
      <alignment horizontal="center" vertical="center" wrapText="1"/>
    </xf>
    <xf numFmtId="3" fontId="52" fillId="0" borderId="20" xfId="0" applyNumberFormat="1" applyFont="1" applyBorder="1" applyAlignment="1">
      <alignment horizontal="center" vertical="center" wrapText="1"/>
    </xf>
    <xf numFmtId="3" fontId="52" fillId="0" borderId="21" xfId="0" applyNumberFormat="1" applyFont="1" applyBorder="1" applyAlignment="1">
      <alignment horizontal="center" vertical="center" wrapText="1"/>
    </xf>
    <xf numFmtId="0" fontId="54" fillId="0" borderId="0" xfId="0" applyFont="1" applyAlignment="1">
      <alignment/>
    </xf>
    <xf numFmtId="3" fontId="52" fillId="0" borderId="21" xfId="0" applyNumberFormat="1" applyFont="1" applyBorder="1" applyAlignment="1">
      <alignment horizontal="center" vertical="center"/>
    </xf>
    <xf numFmtId="0" fontId="55" fillId="0" borderId="0" xfId="0" applyFont="1" applyAlignment="1">
      <alignment/>
    </xf>
    <xf numFmtId="165" fontId="55" fillId="0" borderId="0" xfId="0" applyNumberFormat="1" applyFont="1" applyAlignment="1">
      <alignment/>
    </xf>
    <xf numFmtId="3" fontId="55" fillId="0" borderId="0" xfId="0" applyNumberFormat="1" applyFont="1" applyAlignment="1">
      <alignment/>
    </xf>
    <xf numFmtId="0" fontId="56" fillId="0" borderId="0" xfId="0" applyFont="1" applyAlignment="1">
      <alignment/>
    </xf>
    <xf numFmtId="165" fontId="56" fillId="0" borderId="0" xfId="0" applyNumberFormat="1" applyFont="1" applyAlignment="1">
      <alignment/>
    </xf>
    <xf numFmtId="3" fontId="56" fillId="0" borderId="0" xfId="0" applyNumberFormat="1" applyFont="1" applyAlignment="1">
      <alignment/>
    </xf>
    <xf numFmtId="0" fontId="55" fillId="0" borderId="22" xfId="0" applyFont="1" applyBorder="1" applyAlignment="1">
      <alignment/>
    </xf>
    <xf numFmtId="0" fontId="55" fillId="0" borderId="23" xfId="0" applyFont="1" applyBorder="1" applyAlignment="1">
      <alignment/>
    </xf>
    <xf numFmtId="0" fontId="55" fillId="0" borderId="10" xfId="0" applyFont="1" applyBorder="1" applyAlignment="1">
      <alignment/>
    </xf>
    <xf numFmtId="0" fontId="55" fillId="0" borderId="11" xfId="0" applyFont="1" applyBorder="1" applyAlignment="1">
      <alignment/>
    </xf>
    <xf numFmtId="165" fontId="55" fillId="0" borderId="11" xfId="0" applyNumberFormat="1" applyFont="1" applyBorder="1" applyAlignment="1">
      <alignment/>
    </xf>
    <xf numFmtId="3" fontId="55" fillId="0" borderId="11" xfId="0" applyNumberFormat="1" applyFont="1" applyBorder="1" applyAlignment="1">
      <alignment/>
    </xf>
    <xf numFmtId="3" fontId="55" fillId="0" borderId="12" xfId="0" applyNumberFormat="1" applyFont="1" applyBorder="1" applyAlignment="1">
      <alignment/>
    </xf>
    <xf numFmtId="0" fontId="55" fillId="0" borderId="13" xfId="0" applyFont="1" applyBorder="1" applyAlignment="1">
      <alignment/>
    </xf>
    <xf numFmtId="0" fontId="55" fillId="0" borderId="14" xfId="0" applyFont="1" applyBorder="1" applyAlignment="1">
      <alignment/>
    </xf>
    <xf numFmtId="165" fontId="55" fillId="0" borderId="14" xfId="0" applyNumberFormat="1" applyFont="1" applyBorder="1" applyAlignment="1">
      <alignment/>
    </xf>
    <xf numFmtId="3" fontId="55" fillId="0" borderId="14" xfId="0" applyNumberFormat="1" applyFont="1" applyBorder="1" applyAlignment="1">
      <alignment/>
    </xf>
    <xf numFmtId="3" fontId="55" fillId="0" borderId="15" xfId="0" applyNumberFormat="1" applyFont="1" applyBorder="1" applyAlignment="1">
      <alignment/>
    </xf>
    <xf numFmtId="0" fontId="56" fillId="0" borderId="16" xfId="0" applyFont="1" applyBorder="1" applyAlignment="1">
      <alignment/>
    </xf>
    <xf numFmtId="0" fontId="56" fillId="0" borderId="17" xfId="0" applyFont="1" applyBorder="1" applyAlignment="1">
      <alignment/>
    </xf>
    <xf numFmtId="165" fontId="56" fillId="0" borderId="17" xfId="0" applyNumberFormat="1" applyFont="1" applyBorder="1" applyAlignment="1">
      <alignment/>
    </xf>
    <xf numFmtId="3" fontId="56" fillId="0" borderId="17" xfId="0" applyNumberFormat="1" applyFont="1" applyBorder="1" applyAlignment="1">
      <alignment/>
    </xf>
    <xf numFmtId="3" fontId="56" fillId="0" borderId="18" xfId="0" applyNumberFormat="1" applyFont="1" applyBorder="1" applyAlignment="1">
      <alignment/>
    </xf>
    <xf numFmtId="164" fontId="55" fillId="0" borderId="0" xfId="0" applyNumberFormat="1" applyFont="1" applyAlignment="1">
      <alignment horizontal="right"/>
    </xf>
    <xf numFmtId="164" fontId="56" fillId="0" borderId="17" xfId="0" applyNumberFormat="1" applyFont="1" applyBorder="1" applyAlignment="1">
      <alignment horizontal="right"/>
    </xf>
    <xf numFmtId="164" fontId="55" fillId="0" borderId="11" xfId="0" applyNumberFormat="1" applyFont="1" applyBorder="1" applyAlignment="1">
      <alignment horizontal="right"/>
    </xf>
    <xf numFmtId="164" fontId="55" fillId="0" borderId="14" xfId="0" applyNumberFormat="1" applyFont="1" applyBorder="1" applyAlignment="1">
      <alignment horizontal="right"/>
    </xf>
    <xf numFmtId="164" fontId="56" fillId="0" borderId="0" xfId="0" applyNumberFormat="1" applyFont="1" applyAlignment="1">
      <alignment horizontal="right"/>
    </xf>
    <xf numFmtId="165" fontId="56" fillId="0" borderId="24" xfId="0" applyNumberFormat="1" applyFont="1" applyBorder="1" applyAlignment="1">
      <alignment horizontal="center" vertical="center"/>
    </xf>
    <xf numFmtId="3" fontId="56" fillId="0" borderId="24" xfId="0" applyNumberFormat="1" applyFont="1" applyBorder="1" applyAlignment="1">
      <alignment horizontal="center" vertical="center"/>
    </xf>
    <xf numFmtId="3" fontId="56" fillId="0" borderId="25" xfId="0" applyNumberFormat="1" applyFont="1" applyBorder="1" applyAlignment="1">
      <alignment horizontal="center" vertical="center"/>
    </xf>
    <xf numFmtId="166" fontId="0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166" fontId="0" fillId="0" borderId="11" xfId="0" applyNumberFormat="1" applyFont="1" applyBorder="1" applyAlignment="1">
      <alignment/>
    </xf>
    <xf numFmtId="165" fontId="0" fillId="0" borderId="11" xfId="0" applyNumberFormat="1" applyFont="1" applyBorder="1" applyAlignment="1">
      <alignment/>
    </xf>
    <xf numFmtId="165" fontId="0" fillId="0" borderId="12" xfId="0" applyNumberFormat="1" applyFont="1" applyBorder="1" applyAlignment="1">
      <alignment/>
    </xf>
    <xf numFmtId="165" fontId="52" fillId="0" borderId="12" xfId="0" applyNumberFormat="1" applyFont="1" applyBorder="1" applyAlignment="1">
      <alignment/>
    </xf>
    <xf numFmtId="166" fontId="0" fillId="0" borderId="14" xfId="0" applyNumberFormat="1" applyFont="1" applyBorder="1" applyAlignment="1">
      <alignment/>
    </xf>
    <xf numFmtId="165" fontId="0" fillId="0" borderId="14" xfId="0" applyNumberFormat="1" applyFont="1" applyBorder="1" applyAlignment="1">
      <alignment/>
    </xf>
    <xf numFmtId="165" fontId="0" fillId="0" borderId="15" xfId="0" applyNumberFormat="1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166" fontId="0" fillId="0" borderId="17" xfId="0" applyNumberFormat="1" applyFont="1" applyBorder="1" applyAlignment="1">
      <alignment/>
    </xf>
    <xf numFmtId="165" fontId="0" fillId="0" borderId="17" xfId="0" applyNumberFormat="1" applyFont="1" applyBorder="1" applyAlignment="1">
      <alignment/>
    </xf>
    <xf numFmtId="165" fontId="0" fillId="0" borderId="18" xfId="0" applyNumberFormat="1" applyFont="1" applyBorder="1" applyAlignment="1">
      <alignment/>
    </xf>
    <xf numFmtId="166" fontId="52" fillId="0" borderId="0" xfId="0" applyNumberFormat="1" applyFont="1" applyAlignment="1">
      <alignment/>
    </xf>
    <xf numFmtId="166" fontId="52" fillId="0" borderId="20" xfId="0" applyNumberFormat="1" applyFont="1" applyBorder="1" applyAlignment="1">
      <alignment horizontal="center" vertical="center"/>
    </xf>
    <xf numFmtId="165" fontId="52" fillId="0" borderId="20" xfId="0" applyNumberFormat="1" applyFont="1" applyBorder="1" applyAlignment="1">
      <alignment horizontal="center" vertical="center"/>
    </xf>
    <xf numFmtId="165" fontId="52" fillId="0" borderId="21" xfId="0" applyNumberFormat="1" applyFont="1" applyBorder="1" applyAlignment="1">
      <alignment horizontal="center" vertical="center"/>
    </xf>
    <xf numFmtId="0" fontId="57" fillId="0" borderId="0" xfId="0" applyFont="1" applyAlignment="1">
      <alignment/>
    </xf>
    <xf numFmtId="3" fontId="57" fillId="0" borderId="0" xfId="0" applyNumberFormat="1" applyFont="1" applyAlignment="1">
      <alignment/>
    </xf>
    <xf numFmtId="4" fontId="57" fillId="0" borderId="0" xfId="0" applyNumberFormat="1" applyFont="1" applyAlignment="1">
      <alignment/>
    </xf>
    <xf numFmtId="165" fontId="57" fillId="0" borderId="0" xfId="0" applyNumberFormat="1" applyFont="1" applyAlignment="1">
      <alignment/>
    </xf>
    <xf numFmtId="0" fontId="57" fillId="0" borderId="10" xfId="0" applyFont="1" applyBorder="1" applyAlignment="1">
      <alignment/>
    </xf>
    <xf numFmtId="0" fontId="57" fillId="0" borderId="11" xfId="0" applyFont="1" applyBorder="1" applyAlignment="1">
      <alignment/>
    </xf>
    <xf numFmtId="3" fontId="57" fillId="0" borderId="11" xfId="0" applyNumberFormat="1" applyFont="1" applyBorder="1" applyAlignment="1">
      <alignment/>
    </xf>
    <xf numFmtId="4" fontId="57" fillId="0" borderId="11" xfId="0" applyNumberFormat="1" applyFont="1" applyBorder="1" applyAlignment="1">
      <alignment/>
    </xf>
    <xf numFmtId="165" fontId="57" fillId="0" borderId="11" xfId="0" applyNumberFormat="1" applyFont="1" applyBorder="1" applyAlignment="1">
      <alignment/>
    </xf>
    <xf numFmtId="165" fontId="57" fillId="0" borderId="12" xfId="0" applyNumberFormat="1" applyFont="1" applyBorder="1" applyAlignment="1">
      <alignment/>
    </xf>
    <xf numFmtId="0" fontId="57" fillId="0" borderId="13" xfId="0" applyFont="1" applyBorder="1" applyAlignment="1">
      <alignment/>
    </xf>
    <xf numFmtId="0" fontId="57" fillId="0" borderId="14" xfId="0" applyFont="1" applyBorder="1" applyAlignment="1">
      <alignment/>
    </xf>
    <xf numFmtId="3" fontId="57" fillId="0" borderId="14" xfId="0" applyNumberFormat="1" applyFont="1" applyBorder="1" applyAlignment="1">
      <alignment/>
    </xf>
    <xf numFmtId="4" fontId="57" fillId="0" borderId="14" xfId="0" applyNumberFormat="1" applyFont="1" applyBorder="1" applyAlignment="1">
      <alignment/>
    </xf>
    <xf numFmtId="165" fontId="57" fillId="0" borderId="14" xfId="0" applyNumberFormat="1" applyFont="1" applyBorder="1" applyAlignment="1">
      <alignment/>
    </xf>
    <xf numFmtId="165" fontId="57" fillId="0" borderId="15" xfId="0" applyNumberFormat="1" applyFont="1" applyBorder="1" applyAlignment="1">
      <alignment/>
    </xf>
    <xf numFmtId="0" fontId="57" fillId="0" borderId="16" xfId="0" applyFont="1" applyBorder="1" applyAlignment="1">
      <alignment/>
    </xf>
    <xf numFmtId="0" fontId="57" fillId="0" borderId="17" xfId="0" applyFont="1" applyBorder="1" applyAlignment="1">
      <alignment/>
    </xf>
    <xf numFmtId="3" fontId="57" fillId="0" borderId="17" xfId="0" applyNumberFormat="1" applyFont="1" applyBorder="1" applyAlignment="1">
      <alignment/>
    </xf>
    <xf numFmtId="4" fontId="57" fillId="0" borderId="17" xfId="0" applyNumberFormat="1" applyFont="1" applyBorder="1" applyAlignment="1">
      <alignment/>
    </xf>
    <xf numFmtId="165" fontId="57" fillId="0" borderId="17" xfId="0" applyNumberFormat="1" applyFont="1" applyBorder="1" applyAlignment="1">
      <alignment/>
    </xf>
    <xf numFmtId="165" fontId="57" fillId="0" borderId="18" xfId="0" applyNumberFormat="1" applyFont="1" applyBorder="1" applyAlignment="1">
      <alignment/>
    </xf>
    <xf numFmtId="0" fontId="58" fillId="0" borderId="0" xfId="0" applyFont="1" applyAlignment="1">
      <alignment/>
    </xf>
    <xf numFmtId="3" fontId="58" fillId="0" borderId="0" xfId="0" applyNumberFormat="1" applyFont="1" applyAlignment="1">
      <alignment/>
    </xf>
    <xf numFmtId="4" fontId="58" fillId="0" borderId="0" xfId="0" applyNumberFormat="1" applyFont="1" applyAlignment="1">
      <alignment/>
    </xf>
    <xf numFmtId="165" fontId="58" fillId="0" borderId="0" xfId="0" applyNumberFormat="1" applyFont="1" applyAlignment="1">
      <alignment/>
    </xf>
    <xf numFmtId="0" fontId="58" fillId="0" borderId="19" xfId="0" applyFont="1" applyBorder="1" applyAlignment="1">
      <alignment horizontal="center" vertical="center" wrapText="1"/>
    </xf>
    <xf numFmtId="0" fontId="58" fillId="0" borderId="20" xfId="0" applyFont="1" applyBorder="1" applyAlignment="1">
      <alignment horizontal="center" vertical="center" wrapText="1"/>
    </xf>
    <xf numFmtId="3" fontId="58" fillId="0" borderId="20" xfId="0" applyNumberFormat="1" applyFont="1" applyBorder="1" applyAlignment="1">
      <alignment horizontal="center" vertical="center" wrapText="1"/>
    </xf>
    <xf numFmtId="4" fontId="58" fillId="0" borderId="20" xfId="0" applyNumberFormat="1" applyFont="1" applyBorder="1" applyAlignment="1">
      <alignment horizontal="center" vertical="center" wrapText="1"/>
    </xf>
    <xf numFmtId="165" fontId="58" fillId="0" borderId="20" xfId="0" applyNumberFormat="1" applyFont="1" applyBorder="1" applyAlignment="1">
      <alignment horizontal="center" vertical="center" wrapText="1"/>
    </xf>
    <xf numFmtId="165" fontId="58" fillId="0" borderId="21" xfId="0" applyNumberFormat="1" applyFont="1" applyBorder="1" applyAlignment="1">
      <alignment horizontal="center" vertical="center" wrapText="1"/>
    </xf>
    <xf numFmtId="4" fontId="55" fillId="0" borderId="0" xfId="0" applyNumberFormat="1" applyFont="1" applyAlignment="1">
      <alignment/>
    </xf>
    <xf numFmtId="4" fontId="55" fillId="0" borderId="23" xfId="0" applyNumberFormat="1" applyFont="1" applyBorder="1" applyAlignment="1">
      <alignment/>
    </xf>
    <xf numFmtId="165" fontId="55" fillId="0" borderId="12" xfId="0" applyNumberFormat="1" applyFont="1" applyBorder="1" applyAlignment="1">
      <alignment/>
    </xf>
    <xf numFmtId="165" fontId="59" fillId="0" borderId="11" xfId="0" applyNumberFormat="1" applyFont="1" applyBorder="1" applyAlignment="1">
      <alignment/>
    </xf>
    <xf numFmtId="165" fontId="59" fillId="0" borderId="12" xfId="0" applyNumberFormat="1" applyFont="1" applyBorder="1" applyAlignment="1">
      <alignment/>
    </xf>
    <xf numFmtId="165" fontId="59" fillId="0" borderId="14" xfId="0" applyNumberFormat="1" applyFont="1" applyBorder="1" applyAlignment="1">
      <alignment/>
    </xf>
    <xf numFmtId="165" fontId="59" fillId="0" borderId="15" xfId="0" applyNumberFormat="1" applyFont="1" applyBorder="1" applyAlignment="1">
      <alignment/>
    </xf>
    <xf numFmtId="0" fontId="55" fillId="0" borderId="0" xfId="0" applyFont="1" applyAlignment="1">
      <alignment horizontal="right"/>
    </xf>
    <xf numFmtId="0" fontId="55" fillId="0" borderId="11" xfId="0" applyFont="1" applyBorder="1" applyAlignment="1">
      <alignment horizontal="right"/>
    </xf>
    <xf numFmtId="0" fontId="55" fillId="0" borderId="14" xfId="0" applyFont="1" applyBorder="1" applyAlignment="1">
      <alignment horizontal="right"/>
    </xf>
    <xf numFmtId="4" fontId="55" fillId="0" borderId="0" xfId="0" applyNumberFormat="1" applyFont="1" applyAlignment="1">
      <alignment horizontal="center"/>
    </xf>
    <xf numFmtId="4" fontId="55" fillId="0" borderId="11" xfId="0" applyNumberFormat="1" applyFont="1" applyBorder="1" applyAlignment="1">
      <alignment horizontal="center"/>
    </xf>
    <xf numFmtId="4" fontId="55" fillId="0" borderId="14" xfId="0" applyNumberFormat="1" applyFont="1" applyBorder="1" applyAlignment="1">
      <alignment horizontal="center"/>
    </xf>
    <xf numFmtId="0" fontId="55" fillId="0" borderId="16" xfId="0" applyFont="1" applyBorder="1" applyAlignment="1">
      <alignment/>
    </xf>
    <xf numFmtId="0" fontId="55" fillId="0" borderId="17" xfId="0" applyFont="1" applyBorder="1" applyAlignment="1">
      <alignment/>
    </xf>
    <xf numFmtId="0" fontId="55" fillId="0" borderId="17" xfId="0" applyFont="1" applyBorder="1" applyAlignment="1">
      <alignment horizontal="right"/>
    </xf>
    <xf numFmtId="165" fontId="55" fillId="0" borderId="17" xfId="0" applyNumberFormat="1" applyFont="1" applyBorder="1" applyAlignment="1">
      <alignment/>
    </xf>
    <xf numFmtId="4" fontId="55" fillId="0" borderId="17" xfId="0" applyNumberFormat="1" applyFont="1" applyBorder="1" applyAlignment="1">
      <alignment horizontal="center"/>
    </xf>
    <xf numFmtId="165" fontId="55" fillId="0" borderId="18" xfId="0" applyNumberFormat="1" applyFont="1" applyBorder="1" applyAlignment="1">
      <alignment/>
    </xf>
    <xf numFmtId="0" fontId="56" fillId="0" borderId="0" xfId="0" applyFont="1" applyAlignment="1">
      <alignment horizontal="right"/>
    </xf>
    <xf numFmtId="4" fontId="56" fillId="0" borderId="0" xfId="0" applyNumberFormat="1" applyFont="1" applyAlignment="1">
      <alignment horizontal="center"/>
    </xf>
    <xf numFmtId="0" fontId="60" fillId="0" borderId="20" xfId="0" applyFont="1" applyBorder="1" applyAlignment="1">
      <alignment horizontal="center" vertical="center" wrapText="1"/>
    </xf>
    <xf numFmtId="165" fontId="60" fillId="0" borderId="20" xfId="0" applyNumberFormat="1" applyFont="1" applyBorder="1" applyAlignment="1">
      <alignment horizontal="center" vertical="center" wrapText="1"/>
    </xf>
    <xf numFmtId="4" fontId="60" fillId="0" borderId="20" xfId="0" applyNumberFormat="1" applyFont="1" applyBorder="1" applyAlignment="1">
      <alignment horizontal="center" vertical="center" wrapText="1"/>
    </xf>
    <xf numFmtId="0" fontId="56" fillId="0" borderId="19" xfId="0" applyFont="1" applyBorder="1" applyAlignment="1">
      <alignment horizontal="center" vertical="center"/>
    </xf>
    <xf numFmtId="0" fontId="56" fillId="0" borderId="20" xfId="0" applyFont="1" applyBorder="1" applyAlignment="1">
      <alignment horizontal="center" vertical="center"/>
    </xf>
    <xf numFmtId="0" fontId="56" fillId="0" borderId="20" xfId="0" applyFont="1" applyBorder="1" applyAlignment="1">
      <alignment horizontal="center" vertical="center" wrapText="1"/>
    </xf>
    <xf numFmtId="165" fontId="56" fillId="0" borderId="20" xfId="0" applyNumberFormat="1" applyFont="1" applyBorder="1" applyAlignment="1">
      <alignment horizontal="center" vertical="center" wrapText="1"/>
    </xf>
    <xf numFmtId="165" fontId="56" fillId="0" borderId="20" xfId="0" applyNumberFormat="1" applyFont="1" applyBorder="1" applyAlignment="1">
      <alignment horizontal="center" vertical="center"/>
    </xf>
    <xf numFmtId="165" fontId="56" fillId="0" borderId="21" xfId="0" applyNumberFormat="1" applyFont="1" applyBorder="1" applyAlignment="1">
      <alignment horizontal="center" vertical="center"/>
    </xf>
    <xf numFmtId="4" fontId="55" fillId="0" borderId="0" xfId="0" applyNumberFormat="1" applyFont="1" applyAlignment="1">
      <alignment horizontal="right"/>
    </xf>
    <xf numFmtId="4" fontId="55" fillId="0" borderId="23" xfId="0" applyNumberFormat="1" applyFont="1" applyBorder="1" applyAlignment="1">
      <alignment horizontal="right"/>
    </xf>
    <xf numFmtId="164" fontId="55" fillId="0" borderId="26" xfId="0" applyNumberFormat="1" applyFont="1" applyBorder="1" applyAlignment="1">
      <alignment horizontal="right"/>
    </xf>
    <xf numFmtId="4" fontId="56" fillId="0" borderId="0" xfId="0" applyNumberFormat="1" applyFont="1" applyAlignment="1">
      <alignment horizontal="right"/>
    </xf>
    <xf numFmtId="4" fontId="56" fillId="0" borderId="0" xfId="0" applyNumberFormat="1" applyFont="1" applyAlignment="1">
      <alignment/>
    </xf>
    <xf numFmtId="4" fontId="56" fillId="0" borderId="20" xfId="0" applyNumberFormat="1" applyFont="1" applyBorder="1" applyAlignment="1">
      <alignment horizontal="center" vertical="center" wrapText="1"/>
    </xf>
    <xf numFmtId="4" fontId="56" fillId="0" borderId="20" xfId="0" applyNumberFormat="1" applyFont="1" applyBorder="1" applyAlignment="1">
      <alignment horizontal="center" vertical="center"/>
    </xf>
    <xf numFmtId="164" fontId="56" fillId="0" borderId="21" xfId="0" applyNumberFormat="1" applyFont="1" applyBorder="1" applyAlignment="1">
      <alignment horizontal="center" vertical="center" wrapText="1"/>
    </xf>
    <xf numFmtId="4" fontId="0" fillId="0" borderId="0" xfId="0" applyNumberFormat="1" applyFont="1" applyAlignment="1">
      <alignment/>
    </xf>
    <xf numFmtId="4" fontId="52" fillId="0" borderId="11" xfId="0" applyNumberFormat="1" applyFont="1" applyBorder="1" applyAlignment="1">
      <alignment/>
    </xf>
    <xf numFmtId="4" fontId="52" fillId="0" borderId="12" xfId="0" applyNumberFormat="1" applyFont="1" applyBorder="1" applyAlignment="1">
      <alignment/>
    </xf>
    <xf numFmtId="4" fontId="0" fillId="0" borderId="11" xfId="0" applyNumberFormat="1" applyFont="1" applyBorder="1" applyAlignment="1">
      <alignment/>
    </xf>
    <xf numFmtId="4" fontId="0" fillId="0" borderId="12" xfId="0" applyNumberFormat="1" applyFont="1" applyBorder="1" applyAlignment="1">
      <alignment/>
    </xf>
    <xf numFmtId="4" fontId="0" fillId="0" borderId="14" xfId="0" applyNumberFormat="1" applyFont="1" applyBorder="1" applyAlignment="1">
      <alignment/>
    </xf>
    <xf numFmtId="4" fontId="0" fillId="0" borderId="15" xfId="0" applyNumberFormat="1" applyFont="1" applyBorder="1" applyAlignment="1">
      <alignment/>
    </xf>
    <xf numFmtId="4" fontId="52" fillId="0" borderId="17" xfId="0" applyNumberFormat="1" applyFont="1" applyBorder="1" applyAlignment="1">
      <alignment/>
    </xf>
    <xf numFmtId="4" fontId="52" fillId="0" borderId="18" xfId="0" applyNumberFormat="1" applyFont="1" applyBorder="1" applyAlignment="1">
      <alignment/>
    </xf>
    <xf numFmtId="4" fontId="52" fillId="0" borderId="20" xfId="0" applyNumberFormat="1" applyFont="1" applyBorder="1" applyAlignment="1">
      <alignment horizontal="center" vertical="center"/>
    </xf>
    <xf numFmtId="4" fontId="52" fillId="0" borderId="21" xfId="0" applyNumberFormat="1" applyFont="1" applyBorder="1" applyAlignment="1">
      <alignment horizontal="center" vertical="center"/>
    </xf>
    <xf numFmtId="164" fontId="0" fillId="0" borderId="0" xfId="0" applyNumberFormat="1" applyFont="1" applyAlignment="1">
      <alignment/>
    </xf>
    <xf numFmtId="164" fontId="52" fillId="0" borderId="11" xfId="0" applyNumberFormat="1" applyFont="1" applyBorder="1" applyAlignment="1">
      <alignment/>
    </xf>
    <xf numFmtId="164" fontId="52" fillId="0" borderId="12" xfId="0" applyNumberFormat="1" applyFont="1" applyBorder="1" applyAlignment="1">
      <alignment/>
    </xf>
    <xf numFmtId="164" fontId="0" fillId="0" borderId="11" xfId="0" applyNumberFormat="1" applyFont="1" applyBorder="1" applyAlignment="1">
      <alignment/>
    </xf>
    <xf numFmtId="164" fontId="0" fillId="0" borderId="12" xfId="0" applyNumberFormat="1" applyFont="1" applyBorder="1" applyAlignment="1">
      <alignment/>
    </xf>
    <xf numFmtId="164" fontId="0" fillId="0" borderId="14" xfId="0" applyNumberFormat="1" applyFont="1" applyBorder="1" applyAlignment="1">
      <alignment/>
    </xf>
    <xf numFmtId="164" fontId="0" fillId="0" borderId="15" xfId="0" applyNumberFormat="1" applyFont="1" applyBorder="1" applyAlignment="1">
      <alignment/>
    </xf>
    <xf numFmtId="164" fontId="52" fillId="0" borderId="17" xfId="0" applyNumberFormat="1" applyFont="1" applyBorder="1" applyAlignment="1">
      <alignment/>
    </xf>
    <xf numFmtId="164" fontId="52" fillId="0" borderId="18" xfId="0" applyNumberFormat="1" applyFont="1" applyBorder="1" applyAlignment="1">
      <alignment/>
    </xf>
    <xf numFmtId="164" fontId="52" fillId="0" borderId="20" xfId="0" applyNumberFormat="1" applyFont="1" applyBorder="1" applyAlignment="1">
      <alignment horizontal="center" vertical="center"/>
    </xf>
    <xf numFmtId="164" fontId="52" fillId="0" borderId="21" xfId="0" applyNumberFormat="1" applyFont="1" applyBorder="1" applyAlignment="1">
      <alignment horizontal="center" vertical="center" wrapText="1"/>
    </xf>
    <xf numFmtId="3" fontId="0" fillId="0" borderId="27" xfId="0" applyNumberFormat="1" applyFont="1" applyBorder="1" applyAlignment="1">
      <alignment/>
    </xf>
    <xf numFmtId="3" fontId="52" fillId="0" borderId="27" xfId="0" applyNumberFormat="1" applyFont="1" applyBorder="1" applyAlignment="1">
      <alignment/>
    </xf>
    <xf numFmtId="3" fontId="2" fillId="33" borderId="11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164" fontId="9" fillId="0" borderId="0" xfId="0" applyNumberFormat="1" applyFont="1" applyAlignment="1">
      <alignment horizontal="right"/>
    </xf>
    <xf numFmtId="165" fontId="9" fillId="0" borderId="0" xfId="0" applyNumberFormat="1" applyFont="1" applyAlignment="1">
      <alignment/>
    </xf>
    <xf numFmtId="3" fontId="9" fillId="0" borderId="0" xfId="0" applyNumberFormat="1" applyFont="1" applyAlignment="1">
      <alignment/>
    </xf>
    <xf numFmtId="2" fontId="3" fillId="0" borderId="27" xfId="0" applyNumberFormat="1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/>
    </xf>
    <xf numFmtId="0" fontId="3" fillId="0" borderId="27" xfId="0" applyFont="1" applyBorder="1" applyAlignment="1">
      <alignment vertical="center"/>
    </xf>
    <xf numFmtId="3" fontId="3" fillId="0" borderId="27" xfId="0" applyNumberFormat="1" applyFont="1" applyBorder="1" applyAlignment="1">
      <alignment vertical="center"/>
    </xf>
    <xf numFmtId="165" fontId="3" fillId="0" borderId="27" xfId="0" applyNumberFormat="1" applyFont="1" applyBorder="1" applyAlignment="1">
      <alignment/>
    </xf>
    <xf numFmtId="3" fontId="3" fillId="0" borderId="27" xfId="0" applyNumberFormat="1" applyFont="1" applyBorder="1" applyAlignment="1">
      <alignment/>
    </xf>
    <xf numFmtId="0" fontId="4" fillId="0" borderId="27" xfId="0" applyFont="1" applyBorder="1" applyAlignment="1">
      <alignment horizontal="center" vertical="center"/>
    </xf>
    <xf numFmtId="0" fontId="4" fillId="0" borderId="27" xfId="0" applyFont="1" applyBorder="1" applyAlignment="1">
      <alignment vertical="center" wrapText="1"/>
    </xf>
    <xf numFmtId="3" fontId="4" fillId="0" borderId="27" xfId="0" applyNumberFormat="1" applyFont="1" applyBorder="1" applyAlignment="1">
      <alignment vertical="center"/>
    </xf>
    <xf numFmtId="165" fontId="4" fillId="0" borderId="27" xfId="0" applyNumberFormat="1" applyFont="1" applyBorder="1" applyAlignment="1">
      <alignment/>
    </xf>
    <xf numFmtId="165" fontId="4" fillId="0" borderId="27" xfId="0" applyNumberFormat="1" applyFont="1" applyBorder="1" applyAlignment="1">
      <alignment vertical="center"/>
    </xf>
    <xf numFmtId="3" fontId="4" fillId="0" borderId="27" xfId="0" applyNumberFormat="1" applyFont="1" applyBorder="1" applyAlignment="1">
      <alignment/>
    </xf>
    <xf numFmtId="0" fontId="3" fillId="0" borderId="27" xfId="0" applyFont="1" applyBorder="1" applyAlignment="1">
      <alignment vertical="center" wrapText="1"/>
    </xf>
    <xf numFmtId="165" fontId="4" fillId="0" borderId="27" xfId="0" applyNumberFormat="1" applyFont="1" applyBorder="1" applyAlignment="1">
      <alignment horizontal="center" vertical="center"/>
    </xf>
    <xf numFmtId="165" fontId="4" fillId="0" borderId="27" xfId="0" applyNumberFormat="1" applyFont="1" applyBorder="1" applyAlignment="1">
      <alignment horizontal="center" vertical="center" wrapText="1"/>
    </xf>
    <xf numFmtId="3" fontId="4" fillId="0" borderId="27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vertical="center" wrapText="1"/>
    </xf>
    <xf numFmtId="3" fontId="4" fillId="0" borderId="27" xfId="0" applyNumberFormat="1" applyFont="1" applyFill="1" applyBorder="1" applyAlignment="1">
      <alignment vertical="center"/>
    </xf>
    <xf numFmtId="165" fontId="4" fillId="0" borderId="27" xfId="0" applyNumberFormat="1" applyFont="1" applyFill="1" applyBorder="1" applyAlignment="1">
      <alignment horizontal="center" vertical="center" wrapText="1"/>
    </xf>
    <xf numFmtId="165" fontId="4" fillId="0" borderId="27" xfId="0" applyNumberFormat="1" applyFont="1" applyFill="1" applyBorder="1" applyAlignment="1">
      <alignment/>
    </xf>
    <xf numFmtId="3" fontId="4" fillId="0" borderId="27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3" fillId="0" borderId="27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vertical="center" wrapText="1"/>
    </xf>
    <xf numFmtId="3" fontId="3" fillId="0" borderId="27" xfId="0" applyNumberFormat="1" applyFont="1" applyFill="1" applyBorder="1" applyAlignment="1">
      <alignment vertical="center"/>
    </xf>
    <xf numFmtId="164" fontId="3" fillId="0" borderId="28" xfId="0" applyNumberFormat="1" applyFont="1" applyFill="1" applyBorder="1" applyAlignment="1">
      <alignment horizontal="center" vertical="center" wrapText="1"/>
    </xf>
    <xf numFmtId="165" fontId="3" fillId="0" borderId="27" xfId="0" applyNumberFormat="1" applyFont="1" applyFill="1" applyBorder="1" applyAlignment="1">
      <alignment/>
    </xf>
    <xf numFmtId="3" fontId="3" fillId="0" borderId="27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4" fillId="0" borderId="27" xfId="0" applyFont="1" applyBorder="1" applyAlignment="1">
      <alignment horizontal="center"/>
    </xf>
    <xf numFmtId="164" fontId="4" fillId="0" borderId="27" xfId="0" applyNumberFormat="1" applyFont="1" applyBorder="1" applyAlignment="1">
      <alignment vertical="center" wrapText="1"/>
    </xf>
    <xf numFmtId="164" fontId="5" fillId="0" borderId="0" xfId="0" applyNumberFormat="1" applyFont="1" applyAlignment="1">
      <alignment horizontal="right"/>
    </xf>
    <xf numFmtId="165" fontId="5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3" fontId="61" fillId="0" borderId="0" xfId="0" applyNumberFormat="1" applyFont="1" applyAlignment="1">
      <alignment horizontal="right"/>
    </xf>
    <xf numFmtId="0" fontId="52" fillId="0" borderId="17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52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164" fontId="4" fillId="0" borderId="29" xfId="0" applyNumberFormat="1" applyFont="1" applyBorder="1" applyAlignment="1">
      <alignment horizontal="center" vertical="center" wrapText="1"/>
    </xf>
    <xf numFmtId="164" fontId="4" fillId="0" borderId="28" xfId="0" applyNumberFormat="1" applyFont="1" applyBorder="1" applyAlignment="1">
      <alignment horizontal="center" vertical="center" wrapText="1"/>
    </xf>
    <xf numFmtId="0" fontId="61" fillId="0" borderId="0" xfId="0" applyFont="1" applyAlignment="1">
      <alignment horizontal="center"/>
    </xf>
    <xf numFmtId="0" fontId="62" fillId="0" borderId="0" xfId="0" applyFont="1" applyAlignment="1">
      <alignment horizontal="center"/>
    </xf>
    <xf numFmtId="0" fontId="52" fillId="0" borderId="0" xfId="0" applyFont="1" applyAlignment="1">
      <alignment horizontal="center"/>
    </xf>
    <xf numFmtId="0" fontId="52" fillId="0" borderId="0" xfId="0" applyFont="1" applyAlignment="1" quotePrefix="1">
      <alignment horizontal="center"/>
    </xf>
    <xf numFmtId="0" fontId="63" fillId="0" borderId="0" xfId="0" applyFont="1" applyAlignment="1">
      <alignment horizontal="center"/>
    </xf>
    <xf numFmtId="0" fontId="64" fillId="0" borderId="0" xfId="0" applyFont="1" applyAlignment="1">
      <alignment horizontal="center"/>
    </xf>
    <xf numFmtId="0" fontId="65" fillId="0" borderId="0" xfId="0" applyFont="1" applyAlignment="1">
      <alignment horizontal="center"/>
    </xf>
    <xf numFmtId="0" fontId="56" fillId="0" borderId="30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56" fillId="0" borderId="30" xfId="0" applyFont="1" applyBorder="1" applyAlignment="1">
      <alignment horizontal="center" vertical="center" wrapText="1"/>
    </xf>
    <xf numFmtId="164" fontId="56" fillId="0" borderId="30" xfId="0" applyNumberFormat="1" applyFont="1" applyBorder="1" applyAlignment="1">
      <alignment horizontal="center" vertical="center" wrapText="1"/>
    </xf>
    <xf numFmtId="165" fontId="56" fillId="0" borderId="31" xfId="0" applyNumberFormat="1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3" fontId="56" fillId="0" borderId="31" xfId="0" applyNumberFormat="1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56" fillId="0" borderId="35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6"/>
  <sheetViews>
    <sheetView tabSelected="1" zoomScalePageLayoutView="0" workbookViewId="0" topLeftCell="A1">
      <selection activeCell="A3" sqref="A3:I3"/>
    </sheetView>
  </sheetViews>
  <sheetFormatPr defaultColWidth="8.796875" defaultRowHeight="15"/>
  <cols>
    <col min="1" max="1" width="5.09765625" style="186" customWidth="1"/>
    <col min="2" max="2" width="40" style="186" customWidth="1"/>
    <col min="3" max="3" width="10.8984375" style="186" customWidth="1"/>
    <col min="4" max="4" width="12.09765625" style="225" customWidth="1"/>
    <col min="5" max="5" width="17" style="226" customWidth="1"/>
    <col min="6" max="6" width="12.09765625" style="226" customWidth="1"/>
    <col min="7" max="7" width="13.19921875" style="226" bestFit="1" customWidth="1"/>
    <col min="8" max="8" width="11.5" style="227" customWidth="1"/>
    <col min="9" max="9" width="12" style="227" customWidth="1"/>
    <col min="10" max="16384" width="9" style="186" customWidth="1"/>
  </cols>
  <sheetData>
    <row r="1" spans="1:256" ht="18.75">
      <c r="A1" s="232" t="s">
        <v>500</v>
      </c>
      <c r="B1" s="232"/>
      <c r="C1" s="232"/>
      <c r="D1" s="232"/>
      <c r="E1" s="232"/>
      <c r="F1" s="232"/>
      <c r="G1" s="232"/>
      <c r="H1" s="232"/>
      <c r="I1" s="232"/>
      <c r="J1" s="185"/>
      <c r="K1" s="185"/>
      <c r="L1" s="185"/>
      <c r="M1" s="185"/>
      <c r="N1" s="185"/>
      <c r="O1" s="185"/>
      <c r="P1" s="185"/>
      <c r="Q1" s="185"/>
      <c r="R1" s="185"/>
      <c r="S1" s="185"/>
      <c r="T1" s="185"/>
      <c r="U1" s="185"/>
      <c r="V1" s="185"/>
      <c r="W1" s="185"/>
      <c r="X1" s="185"/>
      <c r="Y1" s="185"/>
      <c r="Z1" s="185"/>
      <c r="AA1" s="185"/>
      <c r="AB1" s="185"/>
      <c r="AC1" s="185"/>
      <c r="AD1" s="185"/>
      <c r="AE1" s="185"/>
      <c r="AF1" s="185"/>
      <c r="AG1" s="185"/>
      <c r="AH1" s="185"/>
      <c r="AI1" s="185"/>
      <c r="AJ1" s="185"/>
      <c r="AK1" s="185"/>
      <c r="AL1" s="185"/>
      <c r="AM1" s="185"/>
      <c r="AN1" s="185"/>
      <c r="AO1" s="185"/>
      <c r="AP1" s="185"/>
      <c r="AQ1" s="185"/>
      <c r="AR1" s="185"/>
      <c r="AS1" s="185"/>
      <c r="AT1" s="185"/>
      <c r="AU1" s="185"/>
      <c r="AV1" s="185"/>
      <c r="AW1" s="185"/>
      <c r="AX1" s="185"/>
      <c r="AY1" s="185"/>
      <c r="AZ1" s="185"/>
      <c r="BA1" s="185"/>
      <c r="BB1" s="185"/>
      <c r="BC1" s="185"/>
      <c r="BD1" s="185"/>
      <c r="BE1" s="185"/>
      <c r="BF1" s="185"/>
      <c r="BG1" s="185"/>
      <c r="BH1" s="185"/>
      <c r="BI1" s="185"/>
      <c r="BJ1" s="185"/>
      <c r="BK1" s="185"/>
      <c r="BL1" s="185"/>
      <c r="BM1" s="185"/>
      <c r="BN1" s="185"/>
      <c r="BO1" s="185"/>
      <c r="BP1" s="185"/>
      <c r="BQ1" s="185"/>
      <c r="BR1" s="185"/>
      <c r="BS1" s="185"/>
      <c r="BT1" s="185"/>
      <c r="BU1" s="185"/>
      <c r="BV1" s="185"/>
      <c r="BW1" s="185"/>
      <c r="BX1" s="185"/>
      <c r="BY1" s="185"/>
      <c r="BZ1" s="185"/>
      <c r="CA1" s="185"/>
      <c r="CB1" s="185"/>
      <c r="CC1" s="185"/>
      <c r="CD1" s="185"/>
      <c r="CE1" s="185"/>
      <c r="CF1" s="185"/>
      <c r="CG1" s="185"/>
      <c r="CH1" s="185"/>
      <c r="CI1" s="185"/>
      <c r="CJ1" s="185"/>
      <c r="CK1" s="185"/>
      <c r="CL1" s="185"/>
      <c r="CM1" s="185"/>
      <c r="CN1" s="185"/>
      <c r="CO1" s="185"/>
      <c r="CP1" s="185"/>
      <c r="CQ1" s="185"/>
      <c r="CR1" s="185"/>
      <c r="CS1" s="185"/>
      <c r="CT1" s="185"/>
      <c r="CU1" s="185"/>
      <c r="CV1" s="185"/>
      <c r="CW1" s="185"/>
      <c r="CX1" s="185"/>
      <c r="CY1" s="185"/>
      <c r="CZ1" s="185"/>
      <c r="DA1" s="185"/>
      <c r="DB1" s="185"/>
      <c r="DC1" s="185"/>
      <c r="DD1" s="185"/>
      <c r="DE1" s="185"/>
      <c r="DF1" s="185"/>
      <c r="DG1" s="185"/>
      <c r="DH1" s="185"/>
      <c r="DI1" s="185"/>
      <c r="DJ1" s="185"/>
      <c r="DK1" s="185"/>
      <c r="DL1" s="185"/>
      <c r="DM1" s="185"/>
      <c r="DN1" s="185"/>
      <c r="DO1" s="185"/>
      <c r="DP1" s="185"/>
      <c r="DQ1" s="185"/>
      <c r="DR1" s="185"/>
      <c r="DS1" s="185"/>
      <c r="DT1" s="185"/>
      <c r="DU1" s="185"/>
      <c r="DV1" s="185"/>
      <c r="DW1" s="185"/>
      <c r="DX1" s="185"/>
      <c r="DY1" s="185"/>
      <c r="DZ1" s="185"/>
      <c r="EA1" s="185"/>
      <c r="EB1" s="185"/>
      <c r="EC1" s="185"/>
      <c r="ED1" s="185"/>
      <c r="EE1" s="185"/>
      <c r="EF1" s="185"/>
      <c r="EG1" s="185"/>
      <c r="EH1" s="185"/>
      <c r="EI1" s="185"/>
      <c r="EJ1" s="185"/>
      <c r="EK1" s="185"/>
      <c r="EL1" s="185"/>
      <c r="EM1" s="185"/>
      <c r="EN1" s="185"/>
      <c r="EO1" s="185"/>
      <c r="EP1" s="185"/>
      <c r="EQ1" s="185"/>
      <c r="ER1" s="185"/>
      <c r="ES1" s="185"/>
      <c r="ET1" s="185"/>
      <c r="EU1" s="185"/>
      <c r="EV1" s="185"/>
      <c r="EW1" s="185"/>
      <c r="EX1" s="185"/>
      <c r="EY1" s="185"/>
      <c r="EZ1" s="185"/>
      <c r="FA1" s="185"/>
      <c r="FB1" s="185"/>
      <c r="FC1" s="185"/>
      <c r="FD1" s="185"/>
      <c r="FE1" s="185"/>
      <c r="FF1" s="185"/>
      <c r="FG1" s="185"/>
      <c r="FH1" s="185"/>
      <c r="FI1" s="185"/>
      <c r="FJ1" s="185"/>
      <c r="FK1" s="185"/>
      <c r="FL1" s="185"/>
      <c r="FM1" s="185"/>
      <c r="FN1" s="185"/>
      <c r="FO1" s="185"/>
      <c r="FP1" s="185"/>
      <c r="FQ1" s="185"/>
      <c r="FR1" s="185"/>
      <c r="FS1" s="185"/>
      <c r="FT1" s="185"/>
      <c r="FU1" s="185"/>
      <c r="FV1" s="185"/>
      <c r="FW1" s="185"/>
      <c r="FX1" s="185"/>
      <c r="FY1" s="185"/>
      <c r="FZ1" s="185"/>
      <c r="GA1" s="185"/>
      <c r="GB1" s="185"/>
      <c r="GC1" s="185"/>
      <c r="GD1" s="185"/>
      <c r="GE1" s="185"/>
      <c r="GF1" s="185"/>
      <c r="GG1" s="185"/>
      <c r="GH1" s="185"/>
      <c r="GI1" s="185"/>
      <c r="GJ1" s="185"/>
      <c r="GK1" s="185"/>
      <c r="GL1" s="185"/>
      <c r="GM1" s="185"/>
      <c r="GN1" s="185"/>
      <c r="GO1" s="185"/>
      <c r="GP1" s="185"/>
      <c r="GQ1" s="185"/>
      <c r="GR1" s="185"/>
      <c r="GS1" s="185"/>
      <c r="GT1" s="185"/>
      <c r="GU1" s="185"/>
      <c r="GV1" s="185"/>
      <c r="GW1" s="185"/>
      <c r="GX1" s="185"/>
      <c r="GY1" s="185"/>
      <c r="GZ1" s="185"/>
      <c r="HA1" s="185"/>
      <c r="HB1" s="185"/>
      <c r="HC1" s="185"/>
      <c r="HD1" s="185"/>
      <c r="HE1" s="185"/>
      <c r="HF1" s="185"/>
      <c r="HG1" s="185"/>
      <c r="HH1" s="185"/>
      <c r="HI1" s="185"/>
      <c r="HJ1" s="185"/>
      <c r="HK1" s="185"/>
      <c r="HL1" s="185"/>
      <c r="HM1" s="185"/>
      <c r="HN1" s="185"/>
      <c r="HO1" s="185"/>
      <c r="HP1" s="185"/>
      <c r="HQ1" s="185"/>
      <c r="HR1" s="185"/>
      <c r="HS1" s="185"/>
      <c r="HT1" s="185"/>
      <c r="HU1" s="185"/>
      <c r="HV1" s="185"/>
      <c r="HW1" s="185"/>
      <c r="HX1" s="185"/>
      <c r="HY1" s="185"/>
      <c r="HZ1" s="185"/>
      <c r="IA1" s="185"/>
      <c r="IB1" s="185"/>
      <c r="IC1" s="185"/>
      <c r="ID1" s="185"/>
      <c r="IE1" s="185"/>
      <c r="IF1" s="185"/>
      <c r="IG1" s="185"/>
      <c r="IH1" s="185"/>
      <c r="II1" s="185"/>
      <c r="IJ1" s="185"/>
      <c r="IK1" s="185"/>
      <c r="IL1" s="185"/>
      <c r="IM1" s="185"/>
      <c r="IN1" s="185"/>
      <c r="IO1" s="185"/>
      <c r="IP1" s="185"/>
      <c r="IQ1" s="185"/>
      <c r="IR1" s="185"/>
      <c r="IS1" s="185"/>
      <c r="IT1" s="185"/>
      <c r="IU1" s="185"/>
      <c r="IV1" s="185"/>
    </row>
    <row r="2" spans="1:256" ht="18.75">
      <c r="A2" s="233" t="str">
        <f>+'Tong du toan'!A7:G7</f>
        <v>C«ng tr×nh: §IÖN CHIÕU S¸NG ®­êng lª ®øc thä, ph­êng h­¬ng xu©n</v>
      </c>
      <c r="B2" s="233"/>
      <c r="C2" s="233"/>
      <c r="D2" s="233"/>
      <c r="E2" s="233"/>
      <c r="F2" s="233"/>
      <c r="G2" s="233"/>
      <c r="H2" s="233"/>
      <c r="I2" s="233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  <c r="AA2" s="187"/>
      <c r="AB2" s="187"/>
      <c r="AC2" s="187"/>
      <c r="AD2" s="187"/>
      <c r="AE2" s="187"/>
      <c r="AF2" s="187"/>
      <c r="AG2" s="187"/>
      <c r="AH2" s="187"/>
      <c r="AI2" s="187"/>
      <c r="AJ2" s="187"/>
      <c r="AK2" s="187"/>
      <c r="AL2" s="187"/>
      <c r="AM2" s="187"/>
      <c r="AN2" s="187"/>
      <c r="AO2" s="187"/>
      <c r="AP2" s="187"/>
      <c r="AQ2" s="187"/>
      <c r="AR2" s="187"/>
      <c r="AS2" s="187"/>
      <c r="AT2" s="187"/>
      <c r="AU2" s="187"/>
      <c r="AV2" s="187"/>
      <c r="AW2" s="187"/>
      <c r="AX2" s="187"/>
      <c r="AY2" s="187"/>
      <c r="AZ2" s="187"/>
      <c r="BA2" s="187"/>
      <c r="BB2" s="187"/>
      <c r="BC2" s="187"/>
      <c r="BD2" s="187"/>
      <c r="BE2" s="187"/>
      <c r="BF2" s="187"/>
      <c r="BG2" s="187"/>
      <c r="BH2" s="187"/>
      <c r="BI2" s="187"/>
      <c r="BJ2" s="187"/>
      <c r="BK2" s="187"/>
      <c r="BL2" s="187"/>
      <c r="BM2" s="187"/>
      <c r="BN2" s="187"/>
      <c r="BO2" s="187"/>
      <c r="BP2" s="187"/>
      <c r="BQ2" s="187"/>
      <c r="BR2" s="187"/>
      <c r="BS2" s="187"/>
      <c r="BT2" s="187"/>
      <c r="BU2" s="187"/>
      <c r="BV2" s="187"/>
      <c r="BW2" s="187"/>
      <c r="BX2" s="187"/>
      <c r="BY2" s="187"/>
      <c r="BZ2" s="187"/>
      <c r="CA2" s="187"/>
      <c r="CB2" s="187"/>
      <c r="CC2" s="187"/>
      <c r="CD2" s="187"/>
      <c r="CE2" s="187"/>
      <c r="CF2" s="187"/>
      <c r="CG2" s="187"/>
      <c r="CH2" s="187"/>
      <c r="CI2" s="187"/>
      <c r="CJ2" s="187"/>
      <c r="CK2" s="187"/>
      <c r="CL2" s="187"/>
      <c r="CM2" s="187"/>
      <c r="CN2" s="187"/>
      <c r="CO2" s="187"/>
      <c r="CP2" s="187"/>
      <c r="CQ2" s="187"/>
      <c r="CR2" s="187"/>
      <c r="CS2" s="187"/>
      <c r="CT2" s="187"/>
      <c r="CU2" s="187"/>
      <c r="CV2" s="187"/>
      <c r="CW2" s="187"/>
      <c r="CX2" s="187"/>
      <c r="CY2" s="187"/>
      <c r="CZ2" s="187"/>
      <c r="DA2" s="187"/>
      <c r="DB2" s="187"/>
      <c r="DC2" s="187"/>
      <c r="DD2" s="187"/>
      <c r="DE2" s="187"/>
      <c r="DF2" s="187"/>
      <c r="DG2" s="187"/>
      <c r="DH2" s="187"/>
      <c r="DI2" s="187"/>
      <c r="DJ2" s="187"/>
      <c r="DK2" s="187"/>
      <c r="DL2" s="187"/>
      <c r="DM2" s="187"/>
      <c r="DN2" s="187"/>
      <c r="DO2" s="187"/>
      <c r="DP2" s="187"/>
      <c r="DQ2" s="187"/>
      <c r="DR2" s="187"/>
      <c r="DS2" s="187"/>
      <c r="DT2" s="187"/>
      <c r="DU2" s="187"/>
      <c r="DV2" s="187"/>
      <c r="DW2" s="187"/>
      <c r="DX2" s="187"/>
      <c r="DY2" s="187"/>
      <c r="DZ2" s="187"/>
      <c r="EA2" s="187"/>
      <c r="EB2" s="187"/>
      <c r="EC2" s="187"/>
      <c r="ED2" s="187"/>
      <c r="EE2" s="187"/>
      <c r="EF2" s="187"/>
      <c r="EG2" s="187"/>
      <c r="EH2" s="187"/>
      <c r="EI2" s="187"/>
      <c r="EJ2" s="187"/>
      <c r="EK2" s="187"/>
      <c r="EL2" s="187"/>
      <c r="EM2" s="187"/>
      <c r="EN2" s="187"/>
      <c r="EO2" s="187"/>
      <c r="EP2" s="187"/>
      <c r="EQ2" s="187"/>
      <c r="ER2" s="187"/>
      <c r="ES2" s="187"/>
      <c r="ET2" s="187"/>
      <c r="EU2" s="187"/>
      <c r="EV2" s="187"/>
      <c r="EW2" s="187"/>
      <c r="EX2" s="187"/>
      <c r="EY2" s="187"/>
      <c r="EZ2" s="187"/>
      <c r="FA2" s="187"/>
      <c r="FB2" s="187"/>
      <c r="FC2" s="187"/>
      <c r="FD2" s="187"/>
      <c r="FE2" s="187"/>
      <c r="FF2" s="187"/>
      <c r="FG2" s="187"/>
      <c r="FH2" s="187"/>
      <c r="FI2" s="187"/>
      <c r="FJ2" s="187"/>
      <c r="FK2" s="187"/>
      <c r="FL2" s="187"/>
      <c r="FM2" s="187"/>
      <c r="FN2" s="187"/>
      <c r="FO2" s="187"/>
      <c r="FP2" s="187"/>
      <c r="FQ2" s="187"/>
      <c r="FR2" s="187"/>
      <c r="FS2" s="187"/>
      <c r="FT2" s="187"/>
      <c r="FU2" s="187"/>
      <c r="FV2" s="187"/>
      <c r="FW2" s="187"/>
      <c r="FX2" s="187"/>
      <c r="FY2" s="187"/>
      <c r="FZ2" s="187"/>
      <c r="GA2" s="187"/>
      <c r="GB2" s="187"/>
      <c r="GC2" s="187"/>
      <c r="GD2" s="187"/>
      <c r="GE2" s="187"/>
      <c r="GF2" s="187"/>
      <c r="GG2" s="187"/>
      <c r="GH2" s="187"/>
      <c r="GI2" s="187"/>
      <c r="GJ2" s="187"/>
      <c r="GK2" s="187"/>
      <c r="GL2" s="187"/>
      <c r="GM2" s="187"/>
      <c r="GN2" s="187"/>
      <c r="GO2" s="187"/>
      <c r="GP2" s="187"/>
      <c r="GQ2" s="187"/>
      <c r="GR2" s="187"/>
      <c r="GS2" s="187"/>
      <c r="GT2" s="187"/>
      <c r="GU2" s="187"/>
      <c r="GV2" s="187"/>
      <c r="GW2" s="187"/>
      <c r="GX2" s="187"/>
      <c r="GY2" s="187"/>
      <c r="GZ2" s="187"/>
      <c r="HA2" s="187"/>
      <c r="HB2" s="187"/>
      <c r="HC2" s="187"/>
      <c r="HD2" s="187"/>
      <c r="HE2" s="187"/>
      <c r="HF2" s="187"/>
      <c r="HG2" s="187"/>
      <c r="HH2" s="187"/>
      <c r="HI2" s="187"/>
      <c r="HJ2" s="187"/>
      <c r="HK2" s="187"/>
      <c r="HL2" s="187"/>
      <c r="HM2" s="187"/>
      <c r="HN2" s="187"/>
      <c r="HO2" s="187"/>
      <c r="HP2" s="187"/>
      <c r="HQ2" s="187"/>
      <c r="HR2" s="187"/>
      <c r="HS2" s="187"/>
      <c r="HT2" s="187"/>
      <c r="HU2" s="187"/>
      <c r="HV2" s="187"/>
      <c r="HW2" s="187"/>
      <c r="HX2" s="187"/>
      <c r="HY2" s="187"/>
      <c r="HZ2" s="187"/>
      <c r="IA2" s="187"/>
      <c r="IB2" s="187"/>
      <c r="IC2" s="187"/>
      <c r="ID2" s="187"/>
      <c r="IE2" s="187"/>
      <c r="IF2" s="187"/>
      <c r="IG2" s="187"/>
      <c r="IH2" s="187"/>
      <c r="II2" s="187"/>
      <c r="IJ2" s="187"/>
      <c r="IK2" s="187"/>
      <c r="IL2" s="187"/>
      <c r="IM2" s="187"/>
      <c r="IN2" s="187"/>
      <c r="IO2" s="187"/>
      <c r="IP2" s="187"/>
      <c r="IQ2" s="187"/>
      <c r="IR2" s="187"/>
      <c r="IS2" s="187"/>
      <c r="IT2" s="187"/>
      <c r="IU2" s="187"/>
      <c r="IV2" s="187"/>
    </row>
    <row r="3" spans="1:256" ht="18.75">
      <c r="A3" s="234" t="s">
        <v>537</v>
      </c>
      <c r="B3" s="234"/>
      <c r="C3" s="234"/>
      <c r="D3" s="234"/>
      <c r="E3" s="234"/>
      <c r="F3" s="234"/>
      <c r="G3" s="234"/>
      <c r="H3" s="234"/>
      <c r="I3" s="234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87"/>
      <c r="V3" s="187"/>
      <c r="W3" s="187"/>
      <c r="X3" s="187"/>
      <c r="Y3" s="187"/>
      <c r="Z3" s="187"/>
      <c r="AA3" s="187"/>
      <c r="AB3" s="187"/>
      <c r="AC3" s="187"/>
      <c r="AD3" s="187"/>
      <c r="AE3" s="187"/>
      <c r="AF3" s="187"/>
      <c r="AG3" s="187"/>
      <c r="AH3" s="187"/>
      <c r="AI3" s="187"/>
      <c r="AJ3" s="187"/>
      <c r="AK3" s="187"/>
      <c r="AL3" s="187"/>
      <c r="AM3" s="187"/>
      <c r="AN3" s="187"/>
      <c r="AO3" s="187"/>
      <c r="AP3" s="187"/>
      <c r="AQ3" s="187"/>
      <c r="AR3" s="187"/>
      <c r="AS3" s="187"/>
      <c r="AT3" s="187"/>
      <c r="AU3" s="187"/>
      <c r="AV3" s="187"/>
      <c r="AW3" s="187"/>
      <c r="AX3" s="187"/>
      <c r="AY3" s="187"/>
      <c r="AZ3" s="187"/>
      <c r="BA3" s="187"/>
      <c r="BB3" s="187"/>
      <c r="BC3" s="187"/>
      <c r="BD3" s="187"/>
      <c r="BE3" s="187"/>
      <c r="BF3" s="187"/>
      <c r="BG3" s="187"/>
      <c r="BH3" s="187"/>
      <c r="BI3" s="187"/>
      <c r="BJ3" s="187"/>
      <c r="BK3" s="187"/>
      <c r="BL3" s="187"/>
      <c r="BM3" s="187"/>
      <c r="BN3" s="187"/>
      <c r="BO3" s="187"/>
      <c r="BP3" s="187"/>
      <c r="BQ3" s="187"/>
      <c r="BR3" s="187"/>
      <c r="BS3" s="187"/>
      <c r="BT3" s="187"/>
      <c r="BU3" s="187"/>
      <c r="BV3" s="187"/>
      <c r="BW3" s="187"/>
      <c r="BX3" s="187"/>
      <c r="BY3" s="187"/>
      <c r="BZ3" s="187"/>
      <c r="CA3" s="187"/>
      <c r="CB3" s="187"/>
      <c r="CC3" s="187"/>
      <c r="CD3" s="187"/>
      <c r="CE3" s="187"/>
      <c r="CF3" s="187"/>
      <c r="CG3" s="187"/>
      <c r="CH3" s="187"/>
      <c r="CI3" s="187"/>
      <c r="CJ3" s="187"/>
      <c r="CK3" s="187"/>
      <c r="CL3" s="187"/>
      <c r="CM3" s="187"/>
      <c r="CN3" s="187"/>
      <c r="CO3" s="187"/>
      <c r="CP3" s="187"/>
      <c r="CQ3" s="187"/>
      <c r="CR3" s="187"/>
      <c r="CS3" s="187"/>
      <c r="CT3" s="187"/>
      <c r="CU3" s="187"/>
      <c r="CV3" s="187"/>
      <c r="CW3" s="187"/>
      <c r="CX3" s="187"/>
      <c r="CY3" s="187"/>
      <c r="CZ3" s="187"/>
      <c r="DA3" s="187"/>
      <c r="DB3" s="187"/>
      <c r="DC3" s="187"/>
      <c r="DD3" s="187"/>
      <c r="DE3" s="187"/>
      <c r="DF3" s="187"/>
      <c r="DG3" s="187"/>
      <c r="DH3" s="187"/>
      <c r="DI3" s="187"/>
      <c r="DJ3" s="187"/>
      <c r="DK3" s="187"/>
      <c r="DL3" s="187"/>
      <c r="DM3" s="187"/>
      <c r="DN3" s="187"/>
      <c r="DO3" s="187"/>
      <c r="DP3" s="187"/>
      <c r="DQ3" s="187"/>
      <c r="DR3" s="187"/>
      <c r="DS3" s="187"/>
      <c r="DT3" s="187"/>
      <c r="DU3" s="187"/>
      <c r="DV3" s="187"/>
      <c r="DW3" s="187"/>
      <c r="DX3" s="187"/>
      <c r="DY3" s="187"/>
      <c r="DZ3" s="187"/>
      <c r="EA3" s="187"/>
      <c r="EB3" s="187"/>
      <c r="EC3" s="187"/>
      <c r="ED3" s="187"/>
      <c r="EE3" s="187"/>
      <c r="EF3" s="187"/>
      <c r="EG3" s="187"/>
      <c r="EH3" s="187"/>
      <c r="EI3" s="187"/>
      <c r="EJ3" s="187"/>
      <c r="EK3" s="187"/>
      <c r="EL3" s="187"/>
      <c r="EM3" s="187"/>
      <c r="EN3" s="187"/>
      <c r="EO3" s="187"/>
      <c r="EP3" s="187"/>
      <c r="EQ3" s="187"/>
      <c r="ER3" s="187"/>
      <c r="ES3" s="187"/>
      <c r="ET3" s="187"/>
      <c r="EU3" s="187"/>
      <c r="EV3" s="187"/>
      <c r="EW3" s="187"/>
      <c r="EX3" s="187"/>
      <c r="EY3" s="187"/>
      <c r="EZ3" s="187"/>
      <c r="FA3" s="187"/>
      <c r="FB3" s="187"/>
      <c r="FC3" s="187"/>
      <c r="FD3" s="187"/>
      <c r="FE3" s="187"/>
      <c r="FF3" s="187"/>
      <c r="FG3" s="187"/>
      <c r="FH3" s="187"/>
      <c r="FI3" s="187"/>
      <c r="FJ3" s="187"/>
      <c r="FK3" s="187"/>
      <c r="FL3" s="187"/>
      <c r="FM3" s="187"/>
      <c r="FN3" s="187"/>
      <c r="FO3" s="187"/>
      <c r="FP3" s="187"/>
      <c r="FQ3" s="187"/>
      <c r="FR3" s="187"/>
      <c r="FS3" s="187"/>
      <c r="FT3" s="187"/>
      <c r="FU3" s="187"/>
      <c r="FV3" s="187"/>
      <c r="FW3" s="187"/>
      <c r="FX3" s="187"/>
      <c r="FY3" s="187"/>
      <c r="FZ3" s="187"/>
      <c r="GA3" s="187"/>
      <c r="GB3" s="187"/>
      <c r="GC3" s="187"/>
      <c r="GD3" s="187"/>
      <c r="GE3" s="187"/>
      <c r="GF3" s="187"/>
      <c r="GG3" s="187"/>
      <c r="GH3" s="187"/>
      <c r="GI3" s="187"/>
      <c r="GJ3" s="187"/>
      <c r="GK3" s="187"/>
      <c r="GL3" s="187"/>
      <c r="GM3" s="187"/>
      <c r="GN3" s="187"/>
      <c r="GO3" s="187"/>
      <c r="GP3" s="187"/>
      <c r="GQ3" s="187"/>
      <c r="GR3" s="187"/>
      <c r="GS3" s="187"/>
      <c r="GT3" s="187"/>
      <c r="GU3" s="187"/>
      <c r="GV3" s="187"/>
      <c r="GW3" s="187"/>
      <c r="GX3" s="187"/>
      <c r="GY3" s="187"/>
      <c r="GZ3" s="187"/>
      <c r="HA3" s="187"/>
      <c r="HB3" s="187"/>
      <c r="HC3" s="187"/>
      <c r="HD3" s="187"/>
      <c r="HE3" s="187"/>
      <c r="HF3" s="187"/>
      <c r="HG3" s="187"/>
      <c r="HH3" s="187"/>
      <c r="HI3" s="187"/>
      <c r="HJ3" s="187"/>
      <c r="HK3" s="187"/>
      <c r="HL3" s="187"/>
      <c r="HM3" s="187"/>
      <c r="HN3" s="187"/>
      <c r="HO3" s="187"/>
      <c r="HP3" s="187"/>
      <c r="HQ3" s="187"/>
      <c r="HR3" s="187"/>
      <c r="HS3" s="187"/>
      <c r="HT3" s="187"/>
      <c r="HU3" s="187"/>
      <c r="HV3" s="187"/>
      <c r="HW3" s="187"/>
      <c r="HX3" s="187"/>
      <c r="HY3" s="187"/>
      <c r="HZ3" s="187"/>
      <c r="IA3" s="187"/>
      <c r="IB3" s="187"/>
      <c r="IC3" s="187"/>
      <c r="ID3" s="187"/>
      <c r="IE3" s="187"/>
      <c r="IF3" s="187"/>
      <c r="IG3" s="187"/>
      <c r="IH3" s="187"/>
      <c r="II3" s="187"/>
      <c r="IJ3" s="187"/>
      <c r="IK3" s="187"/>
      <c r="IL3" s="187"/>
      <c r="IM3" s="187"/>
      <c r="IN3" s="187"/>
      <c r="IO3" s="187"/>
      <c r="IP3" s="187"/>
      <c r="IQ3" s="187"/>
      <c r="IR3" s="187"/>
      <c r="IS3" s="187"/>
      <c r="IT3" s="187"/>
      <c r="IU3" s="187"/>
      <c r="IV3" s="187"/>
    </row>
    <row r="4" spans="1:9" ht="15">
      <c r="A4" s="188"/>
      <c r="B4" s="188"/>
      <c r="C4" s="188"/>
      <c r="D4" s="189"/>
      <c r="E4" s="190"/>
      <c r="F4" s="190"/>
      <c r="G4" s="190"/>
      <c r="H4" s="191"/>
      <c r="I4" s="191"/>
    </row>
    <row r="5" spans="1:256" ht="93.75">
      <c r="A5" s="192" t="s">
        <v>502</v>
      </c>
      <c r="B5" s="192" t="s">
        <v>503</v>
      </c>
      <c r="C5" s="192" t="s">
        <v>504</v>
      </c>
      <c r="D5" s="192" t="s">
        <v>505</v>
      </c>
      <c r="E5" s="192" t="s">
        <v>506</v>
      </c>
      <c r="F5" s="192" t="s">
        <v>507</v>
      </c>
      <c r="G5" s="192" t="s">
        <v>508</v>
      </c>
      <c r="H5" s="192" t="s">
        <v>509</v>
      </c>
      <c r="I5" s="192" t="s">
        <v>510</v>
      </c>
      <c r="J5" s="185"/>
      <c r="K5" s="185"/>
      <c r="L5" s="185"/>
      <c r="M5" s="185"/>
      <c r="N5" s="185"/>
      <c r="O5" s="185"/>
      <c r="P5" s="185"/>
      <c r="Q5" s="185"/>
      <c r="R5" s="185"/>
      <c r="S5" s="185"/>
      <c r="T5" s="185"/>
      <c r="U5" s="185"/>
      <c r="V5" s="185"/>
      <c r="W5" s="185"/>
      <c r="X5" s="185"/>
      <c r="Y5" s="185"/>
      <c r="Z5" s="185"/>
      <c r="AA5" s="185"/>
      <c r="AB5" s="185"/>
      <c r="AC5" s="185"/>
      <c r="AD5" s="185"/>
      <c r="AE5" s="185"/>
      <c r="AF5" s="185"/>
      <c r="AG5" s="185"/>
      <c r="AH5" s="185"/>
      <c r="AI5" s="185"/>
      <c r="AJ5" s="185"/>
      <c r="AK5" s="185"/>
      <c r="AL5" s="185"/>
      <c r="AM5" s="185"/>
      <c r="AN5" s="185"/>
      <c r="AO5" s="185"/>
      <c r="AP5" s="185"/>
      <c r="AQ5" s="185"/>
      <c r="AR5" s="185"/>
      <c r="AS5" s="185"/>
      <c r="AT5" s="185"/>
      <c r="AU5" s="185"/>
      <c r="AV5" s="185"/>
      <c r="AW5" s="185"/>
      <c r="AX5" s="185"/>
      <c r="AY5" s="185"/>
      <c r="AZ5" s="185"/>
      <c r="BA5" s="185"/>
      <c r="BB5" s="185"/>
      <c r="BC5" s="185"/>
      <c r="BD5" s="185"/>
      <c r="BE5" s="185"/>
      <c r="BF5" s="185"/>
      <c r="BG5" s="185"/>
      <c r="BH5" s="185"/>
      <c r="BI5" s="185"/>
      <c r="BJ5" s="185"/>
      <c r="BK5" s="185"/>
      <c r="BL5" s="185"/>
      <c r="BM5" s="185"/>
      <c r="BN5" s="185"/>
      <c r="BO5" s="185"/>
      <c r="BP5" s="185"/>
      <c r="BQ5" s="185"/>
      <c r="BR5" s="185"/>
      <c r="BS5" s="185"/>
      <c r="BT5" s="185"/>
      <c r="BU5" s="185"/>
      <c r="BV5" s="185"/>
      <c r="BW5" s="185"/>
      <c r="BX5" s="185"/>
      <c r="BY5" s="185"/>
      <c r="BZ5" s="185"/>
      <c r="CA5" s="185"/>
      <c r="CB5" s="185"/>
      <c r="CC5" s="185"/>
      <c r="CD5" s="185"/>
      <c r="CE5" s="185"/>
      <c r="CF5" s="185"/>
      <c r="CG5" s="185"/>
      <c r="CH5" s="185"/>
      <c r="CI5" s="185"/>
      <c r="CJ5" s="185"/>
      <c r="CK5" s="185"/>
      <c r="CL5" s="185"/>
      <c r="CM5" s="185"/>
      <c r="CN5" s="185"/>
      <c r="CO5" s="185"/>
      <c r="CP5" s="185"/>
      <c r="CQ5" s="185"/>
      <c r="CR5" s="185"/>
      <c r="CS5" s="185"/>
      <c r="CT5" s="185"/>
      <c r="CU5" s="185"/>
      <c r="CV5" s="185"/>
      <c r="CW5" s="185"/>
      <c r="CX5" s="185"/>
      <c r="CY5" s="185"/>
      <c r="CZ5" s="185"/>
      <c r="DA5" s="185"/>
      <c r="DB5" s="185"/>
      <c r="DC5" s="185"/>
      <c r="DD5" s="185"/>
      <c r="DE5" s="185"/>
      <c r="DF5" s="185"/>
      <c r="DG5" s="185"/>
      <c r="DH5" s="185"/>
      <c r="DI5" s="185"/>
      <c r="DJ5" s="185"/>
      <c r="DK5" s="185"/>
      <c r="DL5" s="185"/>
      <c r="DM5" s="185"/>
      <c r="DN5" s="185"/>
      <c r="DO5" s="185"/>
      <c r="DP5" s="185"/>
      <c r="DQ5" s="185"/>
      <c r="DR5" s="185"/>
      <c r="DS5" s="185"/>
      <c r="DT5" s="185"/>
      <c r="DU5" s="185"/>
      <c r="DV5" s="185"/>
      <c r="DW5" s="185"/>
      <c r="DX5" s="185"/>
      <c r="DY5" s="185"/>
      <c r="DZ5" s="185"/>
      <c r="EA5" s="185"/>
      <c r="EB5" s="185"/>
      <c r="EC5" s="185"/>
      <c r="ED5" s="185"/>
      <c r="EE5" s="185"/>
      <c r="EF5" s="185"/>
      <c r="EG5" s="185"/>
      <c r="EH5" s="185"/>
      <c r="EI5" s="185"/>
      <c r="EJ5" s="185"/>
      <c r="EK5" s="185"/>
      <c r="EL5" s="185"/>
      <c r="EM5" s="185"/>
      <c r="EN5" s="185"/>
      <c r="EO5" s="185"/>
      <c r="EP5" s="185"/>
      <c r="EQ5" s="185"/>
      <c r="ER5" s="185"/>
      <c r="ES5" s="185"/>
      <c r="ET5" s="185"/>
      <c r="EU5" s="185"/>
      <c r="EV5" s="185"/>
      <c r="EW5" s="185"/>
      <c r="EX5" s="185"/>
      <c r="EY5" s="185"/>
      <c r="EZ5" s="185"/>
      <c r="FA5" s="185"/>
      <c r="FB5" s="185"/>
      <c r="FC5" s="185"/>
      <c r="FD5" s="185"/>
      <c r="FE5" s="185"/>
      <c r="FF5" s="185"/>
      <c r="FG5" s="185"/>
      <c r="FH5" s="185"/>
      <c r="FI5" s="185"/>
      <c r="FJ5" s="185"/>
      <c r="FK5" s="185"/>
      <c r="FL5" s="185"/>
      <c r="FM5" s="185"/>
      <c r="FN5" s="185"/>
      <c r="FO5" s="185"/>
      <c r="FP5" s="185"/>
      <c r="FQ5" s="185"/>
      <c r="FR5" s="185"/>
      <c r="FS5" s="185"/>
      <c r="FT5" s="185"/>
      <c r="FU5" s="185"/>
      <c r="FV5" s="185"/>
      <c r="FW5" s="185"/>
      <c r="FX5" s="185"/>
      <c r="FY5" s="185"/>
      <c r="FZ5" s="185"/>
      <c r="GA5" s="185"/>
      <c r="GB5" s="185"/>
      <c r="GC5" s="185"/>
      <c r="GD5" s="185"/>
      <c r="GE5" s="185"/>
      <c r="GF5" s="185"/>
      <c r="GG5" s="185"/>
      <c r="GH5" s="185"/>
      <c r="GI5" s="185"/>
      <c r="GJ5" s="185"/>
      <c r="GK5" s="185"/>
      <c r="GL5" s="185"/>
      <c r="GM5" s="185"/>
      <c r="GN5" s="185"/>
      <c r="GO5" s="185"/>
      <c r="GP5" s="185"/>
      <c r="GQ5" s="185"/>
      <c r="GR5" s="185"/>
      <c r="GS5" s="185"/>
      <c r="GT5" s="185"/>
      <c r="GU5" s="185"/>
      <c r="GV5" s="185"/>
      <c r="GW5" s="185"/>
      <c r="GX5" s="185"/>
      <c r="GY5" s="185"/>
      <c r="GZ5" s="185"/>
      <c r="HA5" s="185"/>
      <c r="HB5" s="185"/>
      <c r="HC5" s="185"/>
      <c r="HD5" s="185"/>
      <c r="HE5" s="185"/>
      <c r="HF5" s="185"/>
      <c r="HG5" s="185"/>
      <c r="HH5" s="185"/>
      <c r="HI5" s="185"/>
      <c r="HJ5" s="185"/>
      <c r="HK5" s="185"/>
      <c r="HL5" s="185"/>
      <c r="HM5" s="185"/>
      <c r="HN5" s="185"/>
      <c r="HO5" s="185"/>
      <c r="HP5" s="185"/>
      <c r="HQ5" s="185"/>
      <c r="HR5" s="185"/>
      <c r="HS5" s="185"/>
      <c r="HT5" s="185"/>
      <c r="HU5" s="185"/>
      <c r="HV5" s="185"/>
      <c r="HW5" s="185"/>
      <c r="HX5" s="185"/>
      <c r="HY5" s="185"/>
      <c r="HZ5" s="185"/>
      <c r="IA5" s="185"/>
      <c r="IB5" s="185"/>
      <c r="IC5" s="185"/>
      <c r="ID5" s="185"/>
      <c r="IE5" s="185"/>
      <c r="IF5" s="185"/>
      <c r="IG5" s="185"/>
      <c r="IH5" s="185"/>
      <c r="II5" s="185"/>
      <c r="IJ5" s="185"/>
      <c r="IK5" s="185"/>
      <c r="IL5" s="185"/>
      <c r="IM5" s="185"/>
      <c r="IN5" s="185"/>
      <c r="IO5" s="185"/>
      <c r="IP5" s="185"/>
      <c r="IQ5" s="185"/>
      <c r="IR5" s="185"/>
      <c r="IS5" s="185"/>
      <c r="IT5" s="185"/>
      <c r="IU5" s="185"/>
      <c r="IV5" s="185"/>
    </row>
    <row r="6" spans="1:9" ht="18.75">
      <c r="A6" s="193" t="s">
        <v>511</v>
      </c>
      <c r="B6" s="194" t="s">
        <v>512</v>
      </c>
      <c r="C6" s="195">
        <f>+SUM(C7:C8)</f>
        <v>68175</v>
      </c>
      <c r="D6" s="235" t="s">
        <v>536</v>
      </c>
      <c r="E6" s="196"/>
      <c r="F6" s="196"/>
      <c r="G6" s="196"/>
      <c r="H6" s="197"/>
      <c r="I6" s="197"/>
    </row>
    <row r="7" spans="1:9" ht="37.5">
      <c r="A7" s="198" t="s">
        <v>2</v>
      </c>
      <c r="B7" s="199" t="s">
        <v>513</v>
      </c>
      <c r="C7" s="200">
        <f>+'Tong du toan'!M17/1000</f>
        <v>63775</v>
      </c>
      <c r="D7" s="236"/>
      <c r="E7" s="201"/>
      <c r="F7" s="201"/>
      <c r="G7" s="202" t="s">
        <v>514</v>
      </c>
      <c r="H7" s="203"/>
      <c r="I7" s="203"/>
    </row>
    <row r="8" spans="1:9" ht="37.5">
      <c r="A8" s="198">
        <v>2</v>
      </c>
      <c r="B8" s="199" t="s">
        <v>515</v>
      </c>
      <c r="C8" s="200">
        <f>+'Tong du toan'!M18/1000</f>
        <v>4400</v>
      </c>
      <c r="D8" s="236"/>
      <c r="E8" s="201"/>
      <c r="F8" s="201"/>
      <c r="G8" s="202" t="s">
        <v>514</v>
      </c>
      <c r="H8" s="203"/>
      <c r="I8" s="203"/>
    </row>
    <row r="9" spans="1:256" ht="37.5">
      <c r="A9" s="193" t="s">
        <v>516</v>
      </c>
      <c r="B9" s="204" t="s">
        <v>517</v>
      </c>
      <c r="C9" s="195">
        <f>+SUM(C10:C12)</f>
        <v>896639</v>
      </c>
      <c r="D9" s="236"/>
      <c r="E9" s="196"/>
      <c r="F9" s="196"/>
      <c r="G9" s="196"/>
      <c r="H9" s="197"/>
      <c r="I9" s="197"/>
      <c r="J9" s="188"/>
      <c r="K9" s="188"/>
      <c r="L9" s="188"/>
      <c r="M9" s="188"/>
      <c r="N9" s="188"/>
      <c r="O9" s="188"/>
      <c r="P9" s="188"/>
      <c r="Q9" s="188"/>
      <c r="R9" s="188"/>
      <c r="S9" s="188"/>
      <c r="T9" s="188"/>
      <c r="U9" s="188"/>
      <c r="V9" s="188"/>
      <c r="W9" s="188"/>
      <c r="X9" s="188"/>
      <c r="Y9" s="188"/>
      <c r="Z9" s="188"/>
      <c r="AA9" s="188"/>
      <c r="AB9" s="188"/>
      <c r="AC9" s="188"/>
      <c r="AD9" s="188"/>
      <c r="AE9" s="188"/>
      <c r="AF9" s="188"/>
      <c r="AG9" s="188"/>
      <c r="AH9" s="188"/>
      <c r="AI9" s="188"/>
      <c r="AJ9" s="188"/>
      <c r="AK9" s="188"/>
      <c r="AL9" s="188"/>
      <c r="AM9" s="188"/>
      <c r="AN9" s="188"/>
      <c r="AO9" s="188"/>
      <c r="AP9" s="188"/>
      <c r="AQ9" s="188"/>
      <c r="AR9" s="188"/>
      <c r="AS9" s="188"/>
      <c r="AT9" s="188"/>
      <c r="AU9" s="188"/>
      <c r="AV9" s="188"/>
      <c r="AW9" s="188"/>
      <c r="AX9" s="188"/>
      <c r="AY9" s="188"/>
      <c r="AZ9" s="188"/>
      <c r="BA9" s="188"/>
      <c r="BB9" s="188"/>
      <c r="BC9" s="188"/>
      <c r="BD9" s="188"/>
      <c r="BE9" s="188"/>
      <c r="BF9" s="188"/>
      <c r="BG9" s="188"/>
      <c r="BH9" s="188"/>
      <c r="BI9" s="188"/>
      <c r="BJ9" s="188"/>
      <c r="BK9" s="188"/>
      <c r="BL9" s="188"/>
      <c r="BM9" s="188"/>
      <c r="BN9" s="188"/>
      <c r="BO9" s="188"/>
      <c r="BP9" s="188"/>
      <c r="BQ9" s="188"/>
      <c r="BR9" s="188"/>
      <c r="BS9" s="188"/>
      <c r="BT9" s="188"/>
      <c r="BU9" s="188"/>
      <c r="BV9" s="188"/>
      <c r="BW9" s="188"/>
      <c r="BX9" s="188"/>
      <c r="BY9" s="188"/>
      <c r="BZ9" s="188"/>
      <c r="CA9" s="188"/>
      <c r="CB9" s="188"/>
      <c r="CC9" s="188"/>
      <c r="CD9" s="188"/>
      <c r="CE9" s="188"/>
      <c r="CF9" s="188"/>
      <c r="CG9" s="188"/>
      <c r="CH9" s="188"/>
      <c r="CI9" s="188"/>
      <c r="CJ9" s="188"/>
      <c r="CK9" s="188"/>
      <c r="CL9" s="188"/>
      <c r="CM9" s="188"/>
      <c r="CN9" s="188"/>
      <c r="CO9" s="188"/>
      <c r="CP9" s="188"/>
      <c r="CQ9" s="188"/>
      <c r="CR9" s="188"/>
      <c r="CS9" s="188"/>
      <c r="CT9" s="188"/>
      <c r="CU9" s="188"/>
      <c r="CV9" s="188"/>
      <c r="CW9" s="188"/>
      <c r="CX9" s="188"/>
      <c r="CY9" s="188"/>
      <c r="CZ9" s="188"/>
      <c r="DA9" s="188"/>
      <c r="DB9" s="188"/>
      <c r="DC9" s="188"/>
      <c r="DD9" s="188"/>
      <c r="DE9" s="188"/>
      <c r="DF9" s="188"/>
      <c r="DG9" s="188"/>
      <c r="DH9" s="188"/>
      <c r="DI9" s="188"/>
      <c r="DJ9" s="188"/>
      <c r="DK9" s="188"/>
      <c r="DL9" s="188"/>
      <c r="DM9" s="188"/>
      <c r="DN9" s="188"/>
      <c r="DO9" s="188"/>
      <c r="DP9" s="188"/>
      <c r="DQ9" s="188"/>
      <c r="DR9" s="188"/>
      <c r="DS9" s="188"/>
      <c r="DT9" s="188"/>
      <c r="DU9" s="188"/>
      <c r="DV9" s="188"/>
      <c r="DW9" s="188"/>
      <c r="DX9" s="188"/>
      <c r="DY9" s="188"/>
      <c r="DZ9" s="188"/>
      <c r="EA9" s="188"/>
      <c r="EB9" s="188"/>
      <c r="EC9" s="188"/>
      <c r="ED9" s="188"/>
      <c r="EE9" s="188"/>
      <c r="EF9" s="188"/>
      <c r="EG9" s="188"/>
      <c r="EH9" s="188"/>
      <c r="EI9" s="188"/>
      <c r="EJ9" s="188"/>
      <c r="EK9" s="188"/>
      <c r="EL9" s="188"/>
      <c r="EM9" s="188"/>
      <c r="EN9" s="188"/>
      <c r="EO9" s="188"/>
      <c r="EP9" s="188"/>
      <c r="EQ9" s="188"/>
      <c r="ER9" s="188"/>
      <c r="ES9" s="188"/>
      <c r="ET9" s="188"/>
      <c r="EU9" s="188"/>
      <c r="EV9" s="188"/>
      <c r="EW9" s="188"/>
      <c r="EX9" s="188"/>
      <c r="EY9" s="188"/>
      <c r="EZ9" s="188"/>
      <c r="FA9" s="188"/>
      <c r="FB9" s="188"/>
      <c r="FC9" s="188"/>
      <c r="FD9" s="188"/>
      <c r="FE9" s="188"/>
      <c r="FF9" s="188"/>
      <c r="FG9" s="188"/>
      <c r="FH9" s="188"/>
      <c r="FI9" s="188"/>
      <c r="FJ9" s="188"/>
      <c r="FK9" s="188"/>
      <c r="FL9" s="188"/>
      <c r="FM9" s="188"/>
      <c r="FN9" s="188"/>
      <c r="FO9" s="188"/>
      <c r="FP9" s="188"/>
      <c r="FQ9" s="188"/>
      <c r="FR9" s="188"/>
      <c r="FS9" s="188"/>
      <c r="FT9" s="188"/>
      <c r="FU9" s="188"/>
      <c r="FV9" s="188"/>
      <c r="FW9" s="188"/>
      <c r="FX9" s="188"/>
      <c r="FY9" s="188"/>
      <c r="FZ9" s="188"/>
      <c r="GA9" s="188"/>
      <c r="GB9" s="188"/>
      <c r="GC9" s="188"/>
      <c r="GD9" s="188"/>
      <c r="GE9" s="188"/>
      <c r="GF9" s="188"/>
      <c r="GG9" s="188"/>
      <c r="GH9" s="188"/>
      <c r="GI9" s="188"/>
      <c r="GJ9" s="188"/>
      <c r="GK9" s="188"/>
      <c r="GL9" s="188"/>
      <c r="GM9" s="188"/>
      <c r="GN9" s="188"/>
      <c r="GO9" s="188"/>
      <c r="GP9" s="188"/>
      <c r="GQ9" s="188"/>
      <c r="GR9" s="188"/>
      <c r="GS9" s="188"/>
      <c r="GT9" s="188"/>
      <c r="GU9" s="188"/>
      <c r="GV9" s="188"/>
      <c r="GW9" s="188"/>
      <c r="GX9" s="188"/>
      <c r="GY9" s="188"/>
      <c r="GZ9" s="188"/>
      <c r="HA9" s="188"/>
      <c r="HB9" s="188"/>
      <c r="HC9" s="188"/>
      <c r="HD9" s="188"/>
      <c r="HE9" s="188"/>
      <c r="HF9" s="188"/>
      <c r="HG9" s="188"/>
      <c r="HH9" s="188"/>
      <c r="HI9" s="188"/>
      <c r="HJ9" s="188"/>
      <c r="HK9" s="188"/>
      <c r="HL9" s="188"/>
      <c r="HM9" s="188"/>
      <c r="HN9" s="188"/>
      <c r="HO9" s="188"/>
      <c r="HP9" s="188"/>
      <c r="HQ9" s="188"/>
      <c r="HR9" s="188"/>
      <c r="HS9" s="188"/>
      <c r="HT9" s="188"/>
      <c r="HU9" s="188"/>
      <c r="HV9" s="188"/>
      <c r="HW9" s="188"/>
      <c r="HX9" s="188"/>
      <c r="HY9" s="188"/>
      <c r="HZ9" s="188"/>
      <c r="IA9" s="188"/>
      <c r="IB9" s="188"/>
      <c r="IC9" s="188"/>
      <c r="ID9" s="188"/>
      <c r="IE9" s="188"/>
      <c r="IF9" s="188"/>
      <c r="IG9" s="188"/>
      <c r="IH9" s="188"/>
      <c r="II9" s="188"/>
      <c r="IJ9" s="188"/>
      <c r="IK9" s="188"/>
      <c r="IL9" s="188"/>
      <c r="IM9" s="188"/>
      <c r="IN9" s="188"/>
      <c r="IO9" s="188"/>
      <c r="IP9" s="188"/>
      <c r="IQ9" s="188"/>
      <c r="IR9" s="188"/>
      <c r="IS9" s="188"/>
      <c r="IT9" s="188"/>
      <c r="IU9" s="188"/>
      <c r="IV9" s="188"/>
    </row>
    <row r="10" spans="1:256" ht="18.75">
      <c r="A10" s="198">
        <v>1</v>
      </c>
      <c r="B10" s="199" t="s">
        <v>518</v>
      </c>
      <c r="C10" s="200">
        <f>+'Tong du toan'!M19/1000</f>
        <v>872081</v>
      </c>
      <c r="D10" s="236"/>
      <c r="E10" s="205" t="s">
        <v>519</v>
      </c>
      <c r="F10" s="206"/>
      <c r="G10" s="205" t="s">
        <v>520</v>
      </c>
      <c r="H10" s="207" t="s">
        <v>521</v>
      </c>
      <c r="I10" s="207" t="s">
        <v>522</v>
      </c>
      <c r="J10" s="208"/>
      <c r="K10" s="208"/>
      <c r="L10" s="208"/>
      <c r="M10" s="208"/>
      <c r="N10" s="208"/>
      <c r="O10" s="208"/>
      <c r="P10" s="208"/>
      <c r="Q10" s="208"/>
      <c r="R10" s="208"/>
      <c r="S10" s="208"/>
      <c r="T10" s="208"/>
      <c r="U10" s="208"/>
      <c r="V10" s="208"/>
      <c r="W10" s="208"/>
      <c r="X10" s="208"/>
      <c r="Y10" s="208"/>
      <c r="Z10" s="208"/>
      <c r="AA10" s="208"/>
      <c r="AB10" s="208"/>
      <c r="AC10" s="208"/>
      <c r="AD10" s="208"/>
      <c r="AE10" s="208"/>
      <c r="AF10" s="208"/>
      <c r="AG10" s="208"/>
      <c r="AH10" s="208"/>
      <c r="AI10" s="208"/>
      <c r="AJ10" s="208"/>
      <c r="AK10" s="208"/>
      <c r="AL10" s="208"/>
      <c r="AM10" s="208"/>
      <c r="AN10" s="208"/>
      <c r="AO10" s="208"/>
      <c r="AP10" s="208"/>
      <c r="AQ10" s="208"/>
      <c r="AR10" s="208"/>
      <c r="AS10" s="208"/>
      <c r="AT10" s="208"/>
      <c r="AU10" s="208"/>
      <c r="AV10" s="208"/>
      <c r="AW10" s="208"/>
      <c r="AX10" s="208"/>
      <c r="AY10" s="208"/>
      <c r="AZ10" s="208"/>
      <c r="BA10" s="208"/>
      <c r="BB10" s="208"/>
      <c r="BC10" s="208"/>
      <c r="BD10" s="208"/>
      <c r="BE10" s="208"/>
      <c r="BF10" s="208"/>
      <c r="BG10" s="208"/>
      <c r="BH10" s="208"/>
      <c r="BI10" s="208"/>
      <c r="BJ10" s="208"/>
      <c r="BK10" s="208"/>
      <c r="BL10" s="208"/>
      <c r="BM10" s="208"/>
      <c r="BN10" s="208"/>
      <c r="BO10" s="208"/>
      <c r="BP10" s="208"/>
      <c r="BQ10" s="208"/>
      <c r="BR10" s="208"/>
      <c r="BS10" s="208"/>
      <c r="BT10" s="208"/>
      <c r="BU10" s="208"/>
      <c r="BV10" s="208"/>
      <c r="BW10" s="208"/>
      <c r="BX10" s="208"/>
      <c r="BY10" s="208"/>
      <c r="BZ10" s="208"/>
      <c r="CA10" s="208"/>
      <c r="CB10" s="208"/>
      <c r="CC10" s="208"/>
      <c r="CD10" s="208"/>
      <c r="CE10" s="208"/>
      <c r="CF10" s="208"/>
      <c r="CG10" s="208"/>
      <c r="CH10" s="208"/>
      <c r="CI10" s="208"/>
      <c r="CJ10" s="208"/>
      <c r="CK10" s="208"/>
      <c r="CL10" s="208"/>
      <c r="CM10" s="208"/>
      <c r="CN10" s="208"/>
      <c r="CO10" s="208"/>
      <c r="CP10" s="208"/>
      <c r="CQ10" s="208"/>
      <c r="CR10" s="208"/>
      <c r="CS10" s="208"/>
      <c r="CT10" s="208"/>
      <c r="CU10" s="208"/>
      <c r="CV10" s="208"/>
      <c r="CW10" s="208"/>
      <c r="CX10" s="208"/>
      <c r="CY10" s="208"/>
      <c r="CZ10" s="208"/>
      <c r="DA10" s="208"/>
      <c r="DB10" s="208"/>
      <c r="DC10" s="208"/>
      <c r="DD10" s="208"/>
      <c r="DE10" s="208"/>
      <c r="DF10" s="208"/>
      <c r="DG10" s="208"/>
      <c r="DH10" s="208"/>
      <c r="DI10" s="208"/>
      <c r="DJ10" s="208"/>
      <c r="DK10" s="208"/>
      <c r="DL10" s="208"/>
      <c r="DM10" s="208"/>
      <c r="DN10" s="208"/>
      <c r="DO10" s="208"/>
      <c r="DP10" s="208"/>
      <c r="DQ10" s="208"/>
      <c r="DR10" s="208"/>
      <c r="DS10" s="208"/>
      <c r="DT10" s="208"/>
      <c r="DU10" s="208"/>
      <c r="DV10" s="208"/>
      <c r="DW10" s="208"/>
      <c r="DX10" s="208"/>
      <c r="DY10" s="208"/>
      <c r="DZ10" s="208"/>
      <c r="EA10" s="208"/>
      <c r="EB10" s="208"/>
      <c r="EC10" s="208"/>
      <c r="ED10" s="208"/>
      <c r="EE10" s="208"/>
      <c r="EF10" s="208"/>
      <c r="EG10" s="208"/>
      <c r="EH10" s="208"/>
      <c r="EI10" s="208"/>
      <c r="EJ10" s="208"/>
      <c r="EK10" s="208"/>
      <c r="EL10" s="208"/>
      <c r="EM10" s="208"/>
      <c r="EN10" s="208"/>
      <c r="EO10" s="208"/>
      <c r="EP10" s="208"/>
      <c r="EQ10" s="208"/>
      <c r="ER10" s="208"/>
      <c r="ES10" s="208"/>
      <c r="ET10" s="208"/>
      <c r="EU10" s="208"/>
      <c r="EV10" s="208"/>
      <c r="EW10" s="208"/>
      <c r="EX10" s="208"/>
      <c r="EY10" s="208"/>
      <c r="EZ10" s="208"/>
      <c r="FA10" s="208"/>
      <c r="FB10" s="208"/>
      <c r="FC10" s="208"/>
      <c r="FD10" s="208"/>
      <c r="FE10" s="208"/>
      <c r="FF10" s="208"/>
      <c r="FG10" s="208"/>
      <c r="FH10" s="208"/>
      <c r="FI10" s="208"/>
      <c r="FJ10" s="208"/>
      <c r="FK10" s="208"/>
      <c r="FL10" s="208"/>
      <c r="FM10" s="208"/>
      <c r="FN10" s="208"/>
      <c r="FO10" s="208"/>
      <c r="FP10" s="208"/>
      <c r="FQ10" s="208"/>
      <c r="FR10" s="208"/>
      <c r="FS10" s="208"/>
      <c r="FT10" s="208"/>
      <c r="FU10" s="208"/>
      <c r="FV10" s="208"/>
      <c r="FW10" s="208"/>
      <c r="FX10" s="208"/>
      <c r="FY10" s="208"/>
      <c r="FZ10" s="208"/>
      <c r="GA10" s="208"/>
      <c r="GB10" s="208"/>
      <c r="GC10" s="208"/>
      <c r="GD10" s="208"/>
      <c r="GE10" s="208"/>
      <c r="GF10" s="208"/>
      <c r="GG10" s="208"/>
      <c r="GH10" s="208"/>
      <c r="GI10" s="208"/>
      <c r="GJ10" s="208"/>
      <c r="GK10" s="208"/>
      <c r="GL10" s="208"/>
      <c r="GM10" s="208"/>
      <c r="GN10" s="208"/>
      <c r="GO10" s="208"/>
      <c r="GP10" s="208"/>
      <c r="GQ10" s="208"/>
      <c r="GR10" s="208"/>
      <c r="GS10" s="208"/>
      <c r="GT10" s="208"/>
      <c r="GU10" s="208"/>
      <c r="GV10" s="208"/>
      <c r="GW10" s="208"/>
      <c r="GX10" s="208"/>
      <c r="GY10" s="208"/>
      <c r="GZ10" s="208"/>
      <c r="HA10" s="208"/>
      <c r="HB10" s="208"/>
      <c r="HC10" s="208"/>
      <c r="HD10" s="208"/>
      <c r="HE10" s="208"/>
      <c r="HF10" s="208"/>
      <c r="HG10" s="208"/>
      <c r="HH10" s="208"/>
      <c r="HI10" s="208"/>
      <c r="HJ10" s="208"/>
      <c r="HK10" s="208"/>
      <c r="HL10" s="208"/>
      <c r="HM10" s="208"/>
      <c r="HN10" s="208"/>
      <c r="HO10" s="208"/>
      <c r="HP10" s="208"/>
      <c r="HQ10" s="208"/>
      <c r="HR10" s="208"/>
      <c r="HS10" s="208"/>
      <c r="HT10" s="208"/>
      <c r="HU10" s="208"/>
      <c r="HV10" s="208"/>
      <c r="HW10" s="208"/>
      <c r="HX10" s="208"/>
      <c r="HY10" s="208"/>
      <c r="HZ10" s="208"/>
      <c r="IA10" s="208"/>
      <c r="IB10" s="208"/>
      <c r="IC10" s="208"/>
      <c r="ID10" s="208"/>
      <c r="IE10" s="208"/>
      <c r="IF10" s="208"/>
      <c r="IG10" s="208"/>
      <c r="IH10" s="208"/>
      <c r="II10" s="208"/>
      <c r="IJ10" s="208"/>
      <c r="IK10" s="208"/>
      <c r="IL10" s="208"/>
      <c r="IM10" s="208"/>
      <c r="IN10" s="208"/>
      <c r="IO10" s="208"/>
      <c r="IP10" s="208"/>
      <c r="IQ10" s="208"/>
      <c r="IR10" s="208"/>
      <c r="IS10" s="208"/>
      <c r="IT10" s="208"/>
      <c r="IU10" s="208"/>
      <c r="IV10" s="208"/>
    </row>
    <row r="11" spans="1:256" ht="18.75">
      <c r="A11" s="198">
        <v>2</v>
      </c>
      <c r="B11" s="199" t="s">
        <v>523</v>
      </c>
      <c r="C11" s="200">
        <f>+'Tong du toan'!M20/1000</f>
        <v>22378</v>
      </c>
      <c r="D11" s="236"/>
      <c r="E11" s="205" t="s">
        <v>519</v>
      </c>
      <c r="F11" s="206"/>
      <c r="G11" s="205" t="s">
        <v>520</v>
      </c>
      <c r="H11" s="207" t="s">
        <v>521</v>
      </c>
      <c r="I11" s="207" t="s">
        <v>522</v>
      </c>
      <c r="J11" s="208"/>
      <c r="K11" s="208"/>
      <c r="L11" s="208"/>
      <c r="M11" s="208"/>
      <c r="N11" s="208"/>
      <c r="O11" s="208"/>
      <c r="P11" s="208"/>
      <c r="Q11" s="208"/>
      <c r="R11" s="208"/>
      <c r="S11" s="208"/>
      <c r="T11" s="208"/>
      <c r="U11" s="208"/>
      <c r="V11" s="208"/>
      <c r="W11" s="208"/>
      <c r="X11" s="208"/>
      <c r="Y11" s="208"/>
      <c r="Z11" s="208"/>
      <c r="AA11" s="208"/>
      <c r="AB11" s="208"/>
      <c r="AC11" s="208"/>
      <c r="AD11" s="208"/>
      <c r="AE11" s="208"/>
      <c r="AF11" s="208"/>
      <c r="AG11" s="208"/>
      <c r="AH11" s="208"/>
      <c r="AI11" s="208"/>
      <c r="AJ11" s="208"/>
      <c r="AK11" s="208"/>
      <c r="AL11" s="208"/>
      <c r="AM11" s="208"/>
      <c r="AN11" s="208"/>
      <c r="AO11" s="208"/>
      <c r="AP11" s="208"/>
      <c r="AQ11" s="208"/>
      <c r="AR11" s="208"/>
      <c r="AS11" s="208"/>
      <c r="AT11" s="208"/>
      <c r="AU11" s="208"/>
      <c r="AV11" s="208"/>
      <c r="AW11" s="208"/>
      <c r="AX11" s="208"/>
      <c r="AY11" s="208"/>
      <c r="AZ11" s="208"/>
      <c r="BA11" s="208"/>
      <c r="BB11" s="208"/>
      <c r="BC11" s="208"/>
      <c r="BD11" s="208"/>
      <c r="BE11" s="208"/>
      <c r="BF11" s="208"/>
      <c r="BG11" s="208"/>
      <c r="BH11" s="208"/>
      <c r="BI11" s="208"/>
      <c r="BJ11" s="208"/>
      <c r="BK11" s="208"/>
      <c r="BL11" s="208"/>
      <c r="BM11" s="208"/>
      <c r="BN11" s="208"/>
      <c r="BO11" s="208"/>
      <c r="BP11" s="208"/>
      <c r="BQ11" s="208"/>
      <c r="BR11" s="208"/>
      <c r="BS11" s="208"/>
      <c r="BT11" s="208"/>
      <c r="BU11" s="208"/>
      <c r="BV11" s="208"/>
      <c r="BW11" s="208"/>
      <c r="BX11" s="208"/>
      <c r="BY11" s="208"/>
      <c r="BZ11" s="208"/>
      <c r="CA11" s="208"/>
      <c r="CB11" s="208"/>
      <c r="CC11" s="208"/>
      <c r="CD11" s="208"/>
      <c r="CE11" s="208"/>
      <c r="CF11" s="208"/>
      <c r="CG11" s="208"/>
      <c r="CH11" s="208"/>
      <c r="CI11" s="208"/>
      <c r="CJ11" s="208"/>
      <c r="CK11" s="208"/>
      <c r="CL11" s="208"/>
      <c r="CM11" s="208"/>
      <c r="CN11" s="208"/>
      <c r="CO11" s="208"/>
      <c r="CP11" s="208"/>
      <c r="CQ11" s="208"/>
      <c r="CR11" s="208"/>
      <c r="CS11" s="208"/>
      <c r="CT11" s="208"/>
      <c r="CU11" s="208"/>
      <c r="CV11" s="208"/>
      <c r="CW11" s="208"/>
      <c r="CX11" s="208"/>
      <c r="CY11" s="208"/>
      <c r="CZ11" s="208"/>
      <c r="DA11" s="208"/>
      <c r="DB11" s="208"/>
      <c r="DC11" s="208"/>
      <c r="DD11" s="208"/>
      <c r="DE11" s="208"/>
      <c r="DF11" s="208"/>
      <c r="DG11" s="208"/>
      <c r="DH11" s="208"/>
      <c r="DI11" s="208"/>
      <c r="DJ11" s="208"/>
      <c r="DK11" s="208"/>
      <c r="DL11" s="208"/>
      <c r="DM11" s="208"/>
      <c r="DN11" s="208"/>
      <c r="DO11" s="208"/>
      <c r="DP11" s="208"/>
      <c r="DQ11" s="208"/>
      <c r="DR11" s="208"/>
      <c r="DS11" s="208"/>
      <c r="DT11" s="208"/>
      <c r="DU11" s="208"/>
      <c r="DV11" s="208"/>
      <c r="DW11" s="208"/>
      <c r="DX11" s="208"/>
      <c r="DY11" s="208"/>
      <c r="DZ11" s="208"/>
      <c r="EA11" s="208"/>
      <c r="EB11" s="208"/>
      <c r="EC11" s="208"/>
      <c r="ED11" s="208"/>
      <c r="EE11" s="208"/>
      <c r="EF11" s="208"/>
      <c r="EG11" s="208"/>
      <c r="EH11" s="208"/>
      <c r="EI11" s="208"/>
      <c r="EJ11" s="208"/>
      <c r="EK11" s="208"/>
      <c r="EL11" s="208"/>
      <c r="EM11" s="208"/>
      <c r="EN11" s="208"/>
      <c r="EO11" s="208"/>
      <c r="EP11" s="208"/>
      <c r="EQ11" s="208"/>
      <c r="ER11" s="208"/>
      <c r="ES11" s="208"/>
      <c r="ET11" s="208"/>
      <c r="EU11" s="208"/>
      <c r="EV11" s="208"/>
      <c r="EW11" s="208"/>
      <c r="EX11" s="208"/>
      <c r="EY11" s="208"/>
      <c r="EZ11" s="208"/>
      <c r="FA11" s="208"/>
      <c r="FB11" s="208"/>
      <c r="FC11" s="208"/>
      <c r="FD11" s="208"/>
      <c r="FE11" s="208"/>
      <c r="FF11" s="208"/>
      <c r="FG11" s="208"/>
      <c r="FH11" s="208"/>
      <c r="FI11" s="208"/>
      <c r="FJ11" s="208"/>
      <c r="FK11" s="208"/>
      <c r="FL11" s="208"/>
      <c r="FM11" s="208"/>
      <c r="FN11" s="208"/>
      <c r="FO11" s="208"/>
      <c r="FP11" s="208"/>
      <c r="FQ11" s="208"/>
      <c r="FR11" s="208"/>
      <c r="FS11" s="208"/>
      <c r="FT11" s="208"/>
      <c r="FU11" s="208"/>
      <c r="FV11" s="208"/>
      <c r="FW11" s="208"/>
      <c r="FX11" s="208"/>
      <c r="FY11" s="208"/>
      <c r="FZ11" s="208"/>
      <c r="GA11" s="208"/>
      <c r="GB11" s="208"/>
      <c r="GC11" s="208"/>
      <c r="GD11" s="208"/>
      <c r="GE11" s="208"/>
      <c r="GF11" s="208"/>
      <c r="GG11" s="208"/>
      <c r="GH11" s="208"/>
      <c r="GI11" s="208"/>
      <c r="GJ11" s="208"/>
      <c r="GK11" s="208"/>
      <c r="GL11" s="208"/>
      <c r="GM11" s="208"/>
      <c r="GN11" s="208"/>
      <c r="GO11" s="208"/>
      <c r="GP11" s="208"/>
      <c r="GQ11" s="208"/>
      <c r="GR11" s="208"/>
      <c r="GS11" s="208"/>
      <c r="GT11" s="208"/>
      <c r="GU11" s="208"/>
      <c r="GV11" s="208"/>
      <c r="GW11" s="208"/>
      <c r="GX11" s="208"/>
      <c r="GY11" s="208"/>
      <c r="GZ11" s="208"/>
      <c r="HA11" s="208"/>
      <c r="HB11" s="208"/>
      <c r="HC11" s="208"/>
      <c r="HD11" s="208"/>
      <c r="HE11" s="208"/>
      <c r="HF11" s="208"/>
      <c r="HG11" s="208"/>
      <c r="HH11" s="208"/>
      <c r="HI11" s="208"/>
      <c r="HJ11" s="208"/>
      <c r="HK11" s="208"/>
      <c r="HL11" s="208"/>
      <c r="HM11" s="208"/>
      <c r="HN11" s="208"/>
      <c r="HO11" s="208"/>
      <c r="HP11" s="208"/>
      <c r="HQ11" s="208"/>
      <c r="HR11" s="208"/>
      <c r="HS11" s="208"/>
      <c r="HT11" s="208"/>
      <c r="HU11" s="208"/>
      <c r="HV11" s="208"/>
      <c r="HW11" s="208"/>
      <c r="HX11" s="208"/>
      <c r="HY11" s="208"/>
      <c r="HZ11" s="208"/>
      <c r="IA11" s="208"/>
      <c r="IB11" s="208"/>
      <c r="IC11" s="208"/>
      <c r="ID11" s="208"/>
      <c r="IE11" s="208"/>
      <c r="IF11" s="208"/>
      <c r="IG11" s="208"/>
      <c r="IH11" s="208"/>
      <c r="II11" s="208"/>
      <c r="IJ11" s="208"/>
      <c r="IK11" s="208"/>
      <c r="IL11" s="208"/>
      <c r="IM11" s="208"/>
      <c r="IN11" s="208"/>
      <c r="IO11" s="208"/>
      <c r="IP11" s="208"/>
      <c r="IQ11" s="208"/>
      <c r="IR11" s="208"/>
      <c r="IS11" s="208"/>
      <c r="IT11" s="208"/>
      <c r="IU11" s="208"/>
      <c r="IV11" s="208"/>
    </row>
    <row r="12" spans="1:256" ht="18.75">
      <c r="A12" s="198">
        <v>3</v>
      </c>
      <c r="B12" s="199" t="s">
        <v>524</v>
      </c>
      <c r="C12" s="200">
        <f>+'Tong du toan'!M21/1000</f>
        <v>2180</v>
      </c>
      <c r="D12" s="236"/>
      <c r="E12" s="205" t="s">
        <v>519</v>
      </c>
      <c r="F12" s="206"/>
      <c r="G12" s="205" t="s">
        <v>520</v>
      </c>
      <c r="H12" s="207" t="s">
        <v>521</v>
      </c>
      <c r="I12" s="207" t="s">
        <v>522</v>
      </c>
      <c r="J12" s="208"/>
      <c r="K12" s="208"/>
      <c r="L12" s="208"/>
      <c r="M12" s="208"/>
      <c r="N12" s="208"/>
      <c r="O12" s="208"/>
      <c r="P12" s="208"/>
      <c r="Q12" s="208"/>
      <c r="R12" s="208"/>
      <c r="S12" s="208"/>
      <c r="T12" s="208"/>
      <c r="U12" s="208"/>
      <c r="V12" s="208"/>
      <c r="W12" s="208"/>
      <c r="X12" s="208"/>
      <c r="Y12" s="208"/>
      <c r="Z12" s="208"/>
      <c r="AA12" s="208"/>
      <c r="AB12" s="208"/>
      <c r="AC12" s="208"/>
      <c r="AD12" s="208"/>
      <c r="AE12" s="208"/>
      <c r="AF12" s="208"/>
      <c r="AG12" s="208"/>
      <c r="AH12" s="208"/>
      <c r="AI12" s="208"/>
      <c r="AJ12" s="208"/>
      <c r="AK12" s="208"/>
      <c r="AL12" s="208"/>
      <c r="AM12" s="208"/>
      <c r="AN12" s="208"/>
      <c r="AO12" s="208"/>
      <c r="AP12" s="208"/>
      <c r="AQ12" s="208"/>
      <c r="AR12" s="208"/>
      <c r="AS12" s="208"/>
      <c r="AT12" s="208"/>
      <c r="AU12" s="208"/>
      <c r="AV12" s="208"/>
      <c r="AW12" s="208"/>
      <c r="AX12" s="208"/>
      <c r="AY12" s="208"/>
      <c r="AZ12" s="208"/>
      <c r="BA12" s="208"/>
      <c r="BB12" s="208"/>
      <c r="BC12" s="208"/>
      <c r="BD12" s="208"/>
      <c r="BE12" s="208"/>
      <c r="BF12" s="208"/>
      <c r="BG12" s="208"/>
      <c r="BH12" s="208"/>
      <c r="BI12" s="208"/>
      <c r="BJ12" s="208"/>
      <c r="BK12" s="208"/>
      <c r="BL12" s="208"/>
      <c r="BM12" s="208"/>
      <c r="BN12" s="208"/>
      <c r="BO12" s="208"/>
      <c r="BP12" s="208"/>
      <c r="BQ12" s="208"/>
      <c r="BR12" s="208"/>
      <c r="BS12" s="208"/>
      <c r="BT12" s="208"/>
      <c r="BU12" s="208"/>
      <c r="BV12" s="208"/>
      <c r="BW12" s="208"/>
      <c r="BX12" s="208"/>
      <c r="BY12" s="208"/>
      <c r="BZ12" s="208"/>
      <c r="CA12" s="208"/>
      <c r="CB12" s="208"/>
      <c r="CC12" s="208"/>
      <c r="CD12" s="208"/>
      <c r="CE12" s="208"/>
      <c r="CF12" s="208"/>
      <c r="CG12" s="208"/>
      <c r="CH12" s="208"/>
      <c r="CI12" s="208"/>
      <c r="CJ12" s="208"/>
      <c r="CK12" s="208"/>
      <c r="CL12" s="208"/>
      <c r="CM12" s="208"/>
      <c r="CN12" s="208"/>
      <c r="CO12" s="208"/>
      <c r="CP12" s="208"/>
      <c r="CQ12" s="208"/>
      <c r="CR12" s="208"/>
      <c r="CS12" s="208"/>
      <c r="CT12" s="208"/>
      <c r="CU12" s="208"/>
      <c r="CV12" s="208"/>
      <c r="CW12" s="208"/>
      <c r="CX12" s="208"/>
      <c r="CY12" s="208"/>
      <c r="CZ12" s="208"/>
      <c r="DA12" s="208"/>
      <c r="DB12" s="208"/>
      <c r="DC12" s="208"/>
      <c r="DD12" s="208"/>
      <c r="DE12" s="208"/>
      <c r="DF12" s="208"/>
      <c r="DG12" s="208"/>
      <c r="DH12" s="208"/>
      <c r="DI12" s="208"/>
      <c r="DJ12" s="208"/>
      <c r="DK12" s="208"/>
      <c r="DL12" s="208"/>
      <c r="DM12" s="208"/>
      <c r="DN12" s="208"/>
      <c r="DO12" s="208"/>
      <c r="DP12" s="208"/>
      <c r="DQ12" s="208"/>
      <c r="DR12" s="208"/>
      <c r="DS12" s="208"/>
      <c r="DT12" s="208"/>
      <c r="DU12" s="208"/>
      <c r="DV12" s="208"/>
      <c r="DW12" s="208"/>
      <c r="DX12" s="208"/>
      <c r="DY12" s="208"/>
      <c r="DZ12" s="208"/>
      <c r="EA12" s="208"/>
      <c r="EB12" s="208"/>
      <c r="EC12" s="208"/>
      <c r="ED12" s="208"/>
      <c r="EE12" s="208"/>
      <c r="EF12" s="208"/>
      <c r="EG12" s="208"/>
      <c r="EH12" s="208"/>
      <c r="EI12" s="208"/>
      <c r="EJ12" s="208"/>
      <c r="EK12" s="208"/>
      <c r="EL12" s="208"/>
      <c r="EM12" s="208"/>
      <c r="EN12" s="208"/>
      <c r="EO12" s="208"/>
      <c r="EP12" s="208"/>
      <c r="EQ12" s="208"/>
      <c r="ER12" s="208"/>
      <c r="ES12" s="208"/>
      <c r="ET12" s="208"/>
      <c r="EU12" s="208"/>
      <c r="EV12" s="208"/>
      <c r="EW12" s="208"/>
      <c r="EX12" s="208"/>
      <c r="EY12" s="208"/>
      <c r="EZ12" s="208"/>
      <c r="FA12" s="208"/>
      <c r="FB12" s="208"/>
      <c r="FC12" s="208"/>
      <c r="FD12" s="208"/>
      <c r="FE12" s="208"/>
      <c r="FF12" s="208"/>
      <c r="FG12" s="208"/>
      <c r="FH12" s="208"/>
      <c r="FI12" s="208"/>
      <c r="FJ12" s="208"/>
      <c r="FK12" s="208"/>
      <c r="FL12" s="208"/>
      <c r="FM12" s="208"/>
      <c r="FN12" s="208"/>
      <c r="FO12" s="208"/>
      <c r="FP12" s="208"/>
      <c r="FQ12" s="208"/>
      <c r="FR12" s="208"/>
      <c r="FS12" s="208"/>
      <c r="FT12" s="208"/>
      <c r="FU12" s="208"/>
      <c r="FV12" s="208"/>
      <c r="FW12" s="208"/>
      <c r="FX12" s="208"/>
      <c r="FY12" s="208"/>
      <c r="FZ12" s="208"/>
      <c r="GA12" s="208"/>
      <c r="GB12" s="208"/>
      <c r="GC12" s="208"/>
      <c r="GD12" s="208"/>
      <c r="GE12" s="208"/>
      <c r="GF12" s="208"/>
      <c r="GG12" s="208"/>
      <c r="GH12" s="208"/>
      <c r="GI12" s="208"/>
      <c r="GJ12" s="208"/>
      <c r="GK12" s="208"/>
      <c r="GL12" s="208"/>
      <c r="GM12" s="208"/>
      <c r="GN12" s="208"/>
      <c r="GO12" s="208"/>
      <c r="GP12" s="208"/>
      <c r="GQ12" s="208"/>
      <c r="GR12" s="208"/>
      <c r="GS12" s="208"/>
      <c r="GT12" s="208"/>
      <c r="GU12" s="208"/>
      <c r="GV12" s="208"/>
      <c r="GW12" s="208"/>
      <c r="GX12" s="208"/>
      <c r="GY12" s="208"/>
      <c r="GZ12" s="208"/>
      <c r="HA12" s="208"/>
      <c r="HB12" s="208"/>
      <c r="HC12" s="208"/>
      <c r="HD12" s="208"/>
      <c r="HE12" s="208"/>
      <c r="HF12" s="208"/>
      <c r="HG12" s="208"/>
      <c r="HH12" s="208"/>
      <c r="HI12" s="208"/>
      <c r="HJ12" s="208"/>
      <c r="HK12" s="208"/>
      <c r="HL12" s="208"/>
      <c r="HM12" s="208"/>
      <c r="HN12" s="208"/>
      <c r="HO12" s="208"/>
      <c r="HP12" s="208"/>
      <c r="HQ12" s="208"/>
      <c r="HR12" s="208"/>
      <c r="HS12" s="208"/>
      <c r="HT12" s="208"/>
      <c r="HU12" s="208"/>
      <c r="HV12" s="208"/>
      <c r="HW12" s="208"/>
      <c r="HX12" s="208"/>
      <c r="HY12" s="208"/>
      <c r="HZ12" s="208"/>
      <c r="IA12" s="208"/>
      <c r="IB12" s="208"/>
      <c r="IC12" s="208"/>
      <c r="ID12" s="208"/>
      <c r="IE12" s="208"/>
      <c r="IF12" s="208"/>
      <c r="IG12" s="208"/>
      <c r="IH12" s="208"/>
      <c r="II12" s="208"/>
      <c r="IJ12" s="208"/>
      <c r="IK12" s="208"/>
      <c r="IL12" s="208"/>
      <c r="IM12" s="208"/>
      <c r="IN12" s="208"/>
      <c r="IO12" s="208"/>
      <c r="IP12" s="208"/>
      <c r="IQ12" s="208"/>
      <c r="IR12" s="208"/>
      <c r="IS12" s="208"/>
      <c r="IT12" s="208"/>
      <c r="IU12" s="208"/>
      <c r="IV12" s="208"/>
    </row>
    <row r="13" spans="1:9" ht="56.25">
      <c r="A13" s="193" t="s">
        <v>525</v>
      </c>
      <c r="B13" s="204" t="s">
        <v>526</v>
      </c>
      <c r="C13" s="195">
        <f>+C14</f>
        <v>34622</v>
      </c>
      <c r="D13" s="236"/>
      <c r="E13" s="196"/>
      <c r="F13" s="196"/>
      <c r="G13" s="196"/>
      <c r="H13" s="197"/>
      <c r="I13" s="197"/>
    </row>
    <row r="14" spans="1:256" ht="56.25">
      <c r="A14" s="209">
        <v>1</v>
      </c>
      <c r="B14" s="210" t="s">
        <v>527</v>
      </c>
      <c r="C14" s="211">
        <f>+'Tong du toan'!M22/1000</f>
        <v>34622</v>
      </c>
      <c r="D14" s="236"/>
      <c r="E14" s="212" t="s">
        <v>528</v>
      </c>
      <c r="F14" s="213"/>
      <c r="G14" s="213"/>
      <c r="H14" s="214"/>
      <c r="I14" s="214"/>
      <c r="J14" s="215"/>
      <c r="K14" s="215"/>
      <c r="L14" s="215"/>
      <c r="M14" s="215"/>
      <c r="N14" s="215"/>
      <c r="O14" s="215"/>
      <c r="P14" s="215"/>
      <c r="Q14" s="215"/>
      <c r="R14" s="215"/>
      <c r="S14" s="215"/>
      <c r="T14" s="215"/>
      <c r="U14" s="215"/>
      <c r="V14" s="215"/>
      <c r="W14" s="215"/>
      <c r="X14" s="215"/>
      <c r="Y14" s="215"/>
      <c r="Z14" s="215"/>
      <c r="AA14" s="215"/>
      <c r="AB14" s="215"/>
      <c r="AC14" s="215"/>
      <c r="AD14" s="215"/>
      <c r="AE14" s="215"/>
      <c r="AF14" s="215"/>
      <c r="AG14" s="215"/>
      <c r="AH14" s="215"/>
      <c r="AI14" s="215"/>
      <c r="AJ14" s="215"/>
      <c r="AK14" s="215"/>
      <c r="AL14" s="215"/>
      <c r="AM14" s="215"/>
      <c r="AN14" s="215"/>
      <c r="AO14" s="215"/>
      <c r="AP14" s="215"/>
      <c r="AQ14" s="215"/>
      <c r="AR14" s="215"/>
      <c r="AS14" s="215"/>
      <c r="AT14" s="215"/>
      <c r="AU14" s="215"/>
      <c r="AV14" s="215"/>
      <c r="AW14" s="215"/>
      <c r="AX14" s="215"/>
      <c r="AY14" s="215"/>
      <c r="AZ14" s="215"/>
      <c r="BA14" s="215"/>
      <c r="BB14" s="215"/>
      <c r="BC14" s="215"/>
      <c r="BD14" s="215"/>
      <c r="BE14" s="215"/>
      <c r="BF14" s="215"/>
      <c r="BG14" s="215"/>
      <c r="BH14" s="215"/>
      <c r="BI14" s="215"/>
      <c r="BJ14" s="215"/>
      <c r="BK14" s="215"/>
      <c r="BL14" s="215"/>
      <c r="BM14" s="215"/>
      <c r="BN14" s="215"/>
      <c r="BO14" s="215"/>
      <c r="BP14" s="215"/>
      <c r="BQ14" s="215"/>
      <c r="BR14" s="215"/>
      <c r="BS14" s="215"/>
      <c r="BT14" s="215"/>
      <c r="BU14" s="215"/>
      <c r="BV14" s="215"/>
      <c r="BW14" s="215"/>
      <c r="BX14" s="215"/>
      <c r="BY14" s="215"/>
      <c r="BZ14" s="215"/>
      <c r="CA14" s="215"/>
      <c r="CB14" s="215"/>
      <c r="CC14" s="215"/>
      <c r="CD14" s="215"/>
      <c r="CE14" s="215"/>
      <c r="CF14" s="215"/>
      <c r="CG14" s="215"/>
      <c r="CH14" s="215"/>
      <c r="CI14" s="215"/>
      <c r="CJ14" s="215"/>
      <c r="CK14" s="215"/>
      <c r="CL14" s="215"/>
      <c r="CM14" s="215"/>
      <c r="CN14" s="215"/>
      <c r="CO14" s="215"/>
      <c r="CP14" s="215"/>
      <c r="CQ14" s="215"/>
      <c r="CR14" s="215"/>
      <c r="CS14" s="215"/>
      <c r="CT14" s="215"/>
      <c r="CU14" s="215"/>
      <c r="CV14" s="215"/>
      <c r="CW14" s="215"/>
      <c r="CX14" s="215"/>
      <c r="CY14" s="215"/>
      <c r="CZ14" s="215"/>
      <c r="DA14" s="215"/>
      <c r="DB14" s="215"/>
      <c r="DC14" s="215"/>
      <c r="DD14" s="215"/>
      <c r="DE14" s="215"/>
      <c r="DF14" s="215"/>
      <c r="DG14" s="215"/>
      <c r="DH14" s="215"/>
      <c r="DI14" s="215"/>
      <c r="DJ14" s="215"/>
      <c r="DK14" s="215"/>
      <c r="DL14" s="215"/>
      <c r="DM14" s="215"/>
      <c r="DN14" s="215"/>
      <c r="DO14" s="215"/>
      <c r="DP14" s="215"/>
      <c r="DQ14" s="215"/>
      <c r="DR14" s="215"/>
      <c r="DS14" s="215"/>
      <c r="DT14" s="215"/>
      <c r="DU14" s="215"/>
      <c r="DV14" s="215"/>
      <c r="DW14" s="215"/>
      <c r="DX14" s="215"/>
      <c r="DY14" s="215"/>
      <c r="DZ14" s="215"/>
      <c r="EA14" s="215"/>
      <c r="EB14" s="215"/>
      <c r="EC14" s="215"/>
      <c r="ED14" s="215"/>
      <c r="EE14" s="215"/>
      <c r="EF14" s="215"/>
      <c r="EG14" s="215"/>
      <c r="EH14" s="215"/>
      <c r="EI14" s="215"/>
      <c r="EJ14" s="215"/>
      <c r="EK14" s="215"/>
      <c r="EL14" s="215"/>
      <c r="EM14" s="215"/>
      <c r="EN14" s="215"/>
      <c r="EO14" s="215"/>
      <c r="EP14" s="215"/>
      <c r="EQ14" s="215"/>
      <c r="ER14" s="215"/>
      <c r="ES14" s="215"/>
      <c r="ET14" s="215"/>
      <c r="EU14" s="215"/>
      <c r="EV14" s="215"/>
      <c r="EW14" s="215"/>
      <c r="EX14" s="215"/>
      <c r="EY14" s="215"/>
      <c r="EZ14" s="215"/>
      <c r="FA14" s="215"/>
      <c r="FB14" s="215"/>
      <c r="FC14" s="215"/>
      <c r="FD14" s="215"/>
      <c r="FE14" s="215"/>
      <c r="FF14" s="215"/>
      <c r="FG14" s="215"/>
      <c r="FH14" s="215"/>
      <c r="FI14" s="215"/>
      <c r="FJ14" s="215"/>
      <c r="FK14" s="215"/>
      <c r="FL14" s="215"/>
      <c r="FM14" s="215"/>
      <c r="FN14" s="215"/>
      <c r="FO14" s="215"/>
      <c r="FP14" s="215"/>
      <c r="FQ14" s="215"/>
      <c r="FR14" s="215"/>
      <c r="FS14" s="215"/>
      <c r="FT14" s="215"/>
      <c r="FU14" s="215"/>
      <c r="FV14" s="215"/>
      <c r="FW14" s="215"/>
      <c r="FX14" s="215"/>
      <c r="FY14" s="215"/>
      <c r="FZ14" s="215"/>
      <c r="GA14" s="215"/>
      <c r="GB14" s="215"/>
      <c r="GC14" s="215"/>
      <c r="GD14" s="215"/>
      <c r="GE14" s="215"/>
      <c r="GF14" s="215"/>
      <c r="GG14" s="215"/>
      <c r="GH14" s="215"/>
      <c r="GI14" s="215"/>
      <c r="GJ14" s="215"/>
      <c r="GK14" s="215"/>
      <c r="GL14" s="215"/>
      <c r="GM14" s="215"/>
      <c r="GN14" s="215"/>
      <c r="GO14" s="215"/>
      <c r="GP14" s="215"/>
      <c r="GQ14" s="215"/>
      <c r="GR14" s="215"/>
      <c r="GS14" s="215"/>
      <c r="GT14" s="215"/>
      <c r="GU14" s="215"/>
      <c r="GV14" s="215"/>
      <c r="GW14" s="215"/>
      <c r="GX14" s="215"/>
      <c r="GY14" s="215"/>
      <c r="GZ14" s="215"/>
      <c r="HA14" s="215"/>
      <c r="HB14" s="215"/>
      <c r="HC14" s="215"/>
      <c r="HD14" s="215"/>
      <c r="HE14" s="215"/>
      <c r="HF14" s="215"/>
      <c r="HG14" s="215"/>
      <c r="HH14" s="215"/>
      <c r="HI14" s="215"/>
      <c r="HJ14" s="215"/>
      <c r="HK14" s="215"/>
      <c r="HL14" s="215"/>
      <c r="HM14" s="215"/>
      <c r="HN14" s="215"/>
      <c r="HO14" s="215"/>
      <c r="HP14" s="215"/>
      <c r="HQ14" s="215"/>
      <c r="HR14" s="215"/>
      <c r="HS14" s="215"/>
      <c r="HT14" s="215"/>
      <c r="HU14" s="215"/>
      <c r="HV14" s="215"/>
      <c r="HW14" s="215"/>
      <c r="HX14" s="215"/>
      <c r="HY14" s="215"/>
      <c r="HZ14" s="215"/>
      <c r="IA14" s="215"/>
      <c r="IB14" s="215"/>
      <c r="IC14" s="215"/>
      <c r="ID14" s="215"/>
      <c r="IE14" s="215"/>
      <c r="IF14" s="215"/>
      <c r="IG14" s="215"/>
      <c r="IH14" s="215"/>
      <c r="II14" s="215"/>
      <c r="IJ14" s="215"/>
      <c r="IK14" s="215"/>
      <c r="IL14" s="215"/>
      <c r="IM14" s="215"/>
      <c r="IN14" s="215"/>
      <c r="IO14" s="215"/>
      <c r="IP14" s="215"/>
      <c r="IQ14" s="215"/>
      <c r="IR14" s="215"/>
      <c r="IS14" s="215"/>
      <c r="IT14" s="215"/>
      <c r="IU14" s="215"/>
      <c r="IV14" s="215"/>
    </row>
    <row r="15" spans="1:256" ht="18.75">
      <c r="A15" s="216" t="s">
        <v>529</v>
      </c>
      <c r="B15" s="217" t="s">
        <v>530</v>
      </c>
      <c r="C15" s="218">
        <f>+'Tong du toan'!M23/1000</f>
        <v>50564</v>
      </c>
      <c r="D15" s="219"/>
      <c r="E15" s="220"/>
      <c r="F15" s="220"/>
      <c r="G15" s="220"/>
      <c r="H15" s="221"/>
      <c r="I15" s="221"/>
      <c r="J15" s="222"/>
      <c r="K15" s="222"/>
      <c r="L15" s="222"/>
      <c r="M15" s="222"/>
      <c r="N15" s="222"/>
      <c r="O15" s="222"/>
      <c r="P15" s="222"/>
      <c r="Q15" s="222"/>
      <c r="R15" s="222"/>
      <c r="S15" s="222"/>
      <c r="T15" s="222"/>
      <c r="U15" s="222"/>
      <c r="V15" s="222"/>
      <c r="W15" s="222"/>
      <c r="X15" s="222"/>
      <c r="Y15" s="222"/>
      <c r="Z15" s="222"/>
      <c r="AA15" s="222"/>
      <c r="AB15" s="222"/>
      <c r="AC15" s="222"/>
      <c r="AD15" s="222"/>
      <c r="AE15" s="222"/>
      <c r="AF15" s="222"/>
      <c r="AG15" s="222"/>
      <c r="AH15" s="222"/>
      <c r="AI15" s="222"/>
      <c r="AJ15" s="222"/>
      <c r="AK15" s="222"/>
      <c r="AL15" s="222"/>
      <c r="AM15" s="222"/>
      <c r="AN15" s="222"/>
      <c r="AO15" s="222"/>
      <c r="AP15" s="222"/>
      <c r="AQ15" s="222"/>
      <c r="AR15" s="222"/>
      <c r="AS15" s="222"/>
      <c r="AT15" s="222"/>
      <c r="AU15" s="222"/>
      <c r="AV15" s="222"/>
      <c r="AW15" s="222"/>
      <c r="AX15" s="222"/>
      <c r="AY15" s="222"/>
      <c r="AZ15" s="222"/>
      <c r="BA15" s="222"/>
      <c r="BB15" s="222"/>
      <c r="BC15" s="222"/>
      <c r="BD15" s="222"/>
      <c r="BE15" s="222"/>
      <c r="BF15" s="222"/>
      <c r="BG15" s="222"/>
      <c r="BH15" s="222"/>
      <c r="BI15" s="222"/>
      <c r="BJ15" s="222"/>
      <c r="BK15" s="222"/>
      <c r="BL15" s="222"/>
      <c r="BM15" s="222"/>
      <c r="BN15" s="222"/>
      <c r="BO15" s="222"/>
      <c r="BP15" s="222"/>
      <c r="BQ15" s="222"/>
      <c r="BR15" s="222"/>
      <c r="BS15" s="222"/>
      <c r="BT15" s="222"/>
      <c r="BU15" s="222"/>
      <c r="BV15" s="222"/>
      <c r="BW15" s="222"/>
      <c r="BX15" s="222"/>
      <c r="BY15" s="222"/>
      <c r="BZ15" s="222"/>
      <c r="CA15" s="222"/>
      <c r="CB15" s="222"/>
      <c r="CC15" s="222"/>
      <c r="CD15" s="222"/>
      <c r="CE15" s="222"/>
      <c r="CF15" s="222"/>
      <c r="CG15" s="222"/>
      <c r="CH15" s="222"/>
      <c r="CI15" s="222"/>
      <c r="CJ15" s="222"/>
      <c r="CK15" s="222"/>
      <c r="CL15" s="222"/>
      <c r="CM15" s="222"/>
      <c r="CN15" s="222"/>
      <c r="CO15" s="222"/>
      <c r="CP15" s="222"/>
      <c r="CQ15" s="222"/>
      <c r="CR15" s="222"/>
      <c r="CS15" s="222"/>
      <c r="CT15" s="222"/>
      <c r="CU15" s="222"/>
      <c r="CV15" s="222"/>
      <c r="CW15" s="222"/>
      <c r="CX15" s="222"/>
      <c r="CY15" s="222"/>
      <c r="CZ15" s="222"/>
      <c r="DA15" s="222"/>
      <c r="DB15" s="222"/>
      <c r="DC15" s="222"/>
      <c r="DD15" s="222"/>
      <c r="DE15" s="222"/>
      <c r="DF15" s="222"/>
      <c r="DG15" s="222"/>
      <c r="DH15" s="222"/>
      <c r="DI15" s="222"/>
      <c r="DJ15" s="222"/>
      <c r="DK15" s="222"/>
      <c r="DL15" s="222"/>
      <c r="DM15" s="222"/>
      <c r="DN15" s="222"/>
      <c r="DO15" s="222"/>
      <c r="DP15" s="222"/>
      <c r="DQ15" s="222"/>
      <c r="DR15" s="222"/>
      <c r="DS15" s="222"/>
      <c r="DT15" s="222"/>
      <c r="DU15" s="222"/>
      <c r="DV15" s="222"/>
      <c r="DW15" s="222"/>
      <c r="DX15" s="222"/>
      <c r="DY15" s="222"/>
      <c r="DZ15" s="222"/>
      <c r="EA15" s="222"/>
      <c r="EB15" s="222"/>
      <c r="EC15" s="222"/>
      <c r="ED15" s="222"/>
      <c r="EE15" s="222"/>
      <c r="EF15" s="222"/>
      <c r="EG15" s="222"/>
      <c r="EH15" s="222"/>
      <c r="EI15" s="222"/>
      <c r="EJ15" s="222"/>
      <c r="EK15" s="222"/>
      <c r="EL15" s="222"/>
      <c r="EM15" s="222"/>
      <c r="EN15" s="222"/>
      <c r="EO15" s="222"/>
      <c r="EP15" s="222"/>
      <c r="EQ15" s="222"/>
      <c r="ER15" s="222"/>
      <c r="ES15" s="222"/>
      <c r="ET15" s="222"/>
      <c r="EU15" s="222"/>
      <c r="EV15" s="222"/>
      <c r="EW15" s="222"/>
      <c r="EX15" s="222"/>
      <c r="EY15" s="222"/>
      <c r="EZ15" s="222"/>
      <c r="FA15" s="222"/>
      <c r="FB15" s="222"/>
      <c r="FC15" s="222"/>
      <c r="FD15" s="222"/>
      <c r="FE15" s="222"/>
      <c r="FF15" s="222"/>
      <c r="FG15" s="222"/>
      <c r="FH15" s="222"/>
      <c r="FI15" s="222"/>
      <c r="FJ15" s="222"/>
      <c r="FK15" s="222"/>
      <c r="FL15" s="222"/>
      <c r="FM15" s="222"/>
      <c r="FN15" s="222"/>
      <c r="FO15" s="222"/>
      <c r="FP15" s="222"/>
      <c r="FQ15" s="222"/>
      <c r="FR15" s="222"/>
      <c r="FS15" s="222"/>
      <c r="FT15" s="222"/>
      <c r="FU15" s="222"/>
      <c r="FV15" s="222"/>
      <c r="FW15" s="222"/>
      <c r="FX15" s="222"/>
      <c r="FY15" s="222"/>
      <c r="FZ15" s="222"/>
      <c r="GA15" s="222"/>
      <c r="GB15" s="222"/>
      <c r="GC15" s="222"/>
      <c r="GD15" s="222"/>
      <c r="GE15" s="222"/>
      <c r="GF15" s="222"/>
      <c r="GG15" s="222"/>
      <c r="GH15" s="222"/>
      <c r="GI15" s="222"/>
      <c r="GJ15" s="222"/>
      <c r="GK15" s="222"/>
      <c r="GL15" s="222"/>
      <c r="GM15" s="222"/>
      <c r="GN15" s="222"/>
      <c r="GO15" s="222"/>
      <c r="GP15" s="222"/>
      <c r="GQ15" s="222"/>
      <c r="GR15" s="222"/>
      <c r="GS15" s="222"/>
      <c r="GT15" s="222"/>
      <c r="GU15" s="222"/>
      <c r="GV15" s="222"/>
      <c r="GW15" s="222"/>
      <c r="GX15" s="222"/>
      <c r="GY15" s="222"/>
      <c r="GZ15" s="222"/>
      <c r="HA15" s="222"/>
      <c r="HB15" s="222"/>
      <c r="HC15" s="222"/>
      <c r="HD15" s="222"/>
      <c r="HE15" s="222"/>
      <c r="HF15" s="222"/>
      <c r="HG15" s="222"/>
      <c r="HH15" s="222"/>
      <c r="HI15" s="222"/>
      <c r="HJ15" s="222"/>
      <c r="HK15" s="222"/>
      <c r="HL15" s="222"/>
      <c r="HM15" s="222"/>
      <c r="HN15" s="222"/>
      <c r="HO15" s="222"/>
      <c r="HP15" s="222"/>
      <c r="HQ15" s="222"/>
      <c r="HR15" s="222"/>
      <c r="HS15" s="222"/>
      <c r="HT15" s="222"/>
      <c r="HU15" s="222"/>
      <c r="HV15" s="222"/>
      <c r="HW15" s="222"/>
      <c r="HX15" s="222"/>
      <c r="HY15" s="222"/>
      <c r="HZ15" s="222"/>
      <c r="IA15" s="222"/>
      <c r="IB15" s="222"/>
      <c r="IC15" s="222"/>
      <c r="ID15" s="222"/>
      <c r="IE15" s="222"/>
      <c r="IF15" s="222"/>
      <c r="IG15" s="222"/>
      <c r="IH15" s="222"/>
      <c r="II15" s="222"/>
      <c r="IJ15" s="222"/>
      <c r="IK15" s="222"/>
      <c r="IL15" s="222"/>
      <c r="IM15" s="222"/>
      <c r="IN15" s="222"/>
      <c r="IO15" s="222"/>
      <c r="IP15" s="222"/>
      <c r="IQ15" s="222"/>
      <c r="IR15" s="222"/>
      <c r="IS15" s="222"/>
      <c r="IT15" s="222"/>
      <c r="IU15" s="222"/>
      <c r="IV15" s="222"/>
    </row>
    <row r="16" spans="1:9" ht="18.75">
      <c r="A16" s="223" t="s">
        <v>0</v>
      </c>
      <c r="B16" s="204" t="s">
        <v>531</v>
      </c>
      <c r="C16" s="195">
        <f>+C13+C9+C6+C15</f>
        <v>1050000</v>
      </c>
      <c r="D16" s="224"/>
      <c r="E16" s="201"/>
      <c r="F16" s="201"/>
      <c r="G16" s="201"/>
      <c r="H16" s="203"/>
      <c r="I16" s="203"/>
    </row>
  </sheetData>
  <sheetProtection/>
  <mergeCells count="4">
    <mergeCell ref="A1:I1"/>
    <mergeCell ref="A2:I2"/>
    <mergeCell ref="A3:I3"/>
    <mergeCell ref="D6:D14"/>
  </mergeCells>
  <printOptions/>
  <pageMargins left="0.2" right="0.2" top="0.5" bottom="0.25" header="0.3" footer="0.3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253"/>
  <sheetViews>
    <sheetView showZeros="0" zoomScalePageLayoutView="0" workbookViewId="0" topLeftCell="A1">
      <selection activeCell="A1" sqref="A1:G1"/>
    </sheetView>
  </sheetViews>
  <sheetFormatPr defaultColWidth="8.796875" defaultRowHeight="15"/>
  <cols>
    <col min="1" max="1" width="3.69921875" style="6" customWidth="1"/>
    <col min="2" max="2" width="9.69921875" style="6" customWidth="1"/>
    <col min="3" max="3" width="29.69921875" style="6" customWidth="1"/>
    <col min="4" max="4" width="5.09765625" style="6" customWidth="1"/>
    <col min="5" max="6" width="10.69921875" style="171" customWidth="1"/>
    <col min="7" max="7" width="13.5" style="171" customWidth="1"/>
    <col min="8" max="16384" width="9" style="6" customWidth="1"/>
  </cols>
  <sheetData>
    <row r="1" spans="1:7" ht="21">
      <c r="A1" s="243" t="s">
        <v>491</v>
      </c>
      <c r="B1" s="243"/>
      <c r="C1" s="243"/>
      <c r="D1" s="243"/>
      <c r="E1" s="243"/>
      <c r="F1" s="243"/>
      <c r="G1" s="243"/>
    </row>
    <row r="2" spans="1:7" ht="15.75">
      <c r="A2" s="2"/>
      <c r="B2" s="2"/>
      <c r="C2" s="2"/>
      <c r="D2" s="2"/>
      <c r="E2" s="3"/>
      <c r="F2" s="3"/>
      <c r="G2" s="3"/>
    </row>
    <row r="3" spans="1:7" s="39" customFormat="1" ht="16.5">
      <c r="A3" s="242" t="s">
        <v>423</v>
      </c>
      <c r="B3" s="242"/>
      <c r="C3" s="242"/>
      <c r="D3" s="242"/>
      <c r="E3" s="242"/>
      <c r="F3" s="242"/>
      <c r="G3" s="242"/>
    </row>
    <row r="4" spans="1:7" s="39" customFormat="1" ht="16.5">
      <c r="A4" s="242" t="s">
        <v>424</v>
      </c>
      <c r="B4" s="242"/>
      <c r="C4" s="242"/>
      <c r="D4" s="242"/>
      <c r="E4" s="242"/>
      <c r="F4" s="242"/>
      <c r="G4" s="242"/>
    </row>
    <row r="5" spans="1:7" s="39" customFormat="1" ht="16.5">
      <c r="A5" s="242"/>
      <c r="B5" s="242"/>
      <c r="C5" s="242"/>
      <c r="D5" s="242"/>
      <c r="E5" s="242"/>
      <c r="F5" s="242"/>
      <c r="G5" s="242"/>
    </row>
    <row r="6" spans="1:7" ht="16.5" thickBot="1">
      <c r="A6" s="2"/>
      <c r="B6" s="2"/>
      <c r="C6" s="2"/>
      <c r="D6" s="2"/>
      <c r="E6" s="3"/>
      <c r="F6" s="3"/>
      <c r="G6" s="3"/>
    </row>
    <row r="7" spans="1:7" ht="45" customHeight="1">
      <c r="A7" s="34" t="s">
        <v>276</v>
      </c>
      <c r="B7" s="36" t="s">
        <v>435</v>
      </c>
      <c r="C7" s="35" t="s">
        <v>436</v>
      </c>
      <c r="D7" s="36" t="s">
        <v>445</v>
      </c>
      <c r="E7" s="180" t="s">
        <v>490</v>
      </c>
      <c r="F7" s="180" t="s">
        <v>446</v>
      </c>
      <c r="G7" s="181" t="s">
        <v>487</v>
      </c>
    </row>
    <row r="8" spans="1:7" ht="15.75">
      <c r="A8" s="20" t="s">
        <v>0</v>
      </c>
      <c r="B8" s="21" t="s">
        <v>0</v>
      </c>
      <c r="C8" s="21" t="s">
        <v>1</v>
      </c>
      <c r="D8" s="21" t="s">
        <v>0</v>
      </c>
      <c r="E8" s="178"/>
      <c r="F8" s="178"/>
      <c r="G8" s="179"/>
    </row>
    <row r="9" spans="1:7" ht="15">
      <c r="A9" s="12" t="s">
        <v>0</v>
      </c>
      <c r="B9" s="13" t="s">
        <v>0</v>
      </c>
      <c r="C9" s="13" t="s">
        <v>0</v>
      </c>
      <c r="D9" s="13" t="s">
        <v>0</v>
      </c>
      <c r="E9" s="174"/>
      <c r="F9" s="174"/>
      <c r="G9" s="175"/>
    </row>
    <row r="10" spans="1:7" ht="15">
      <c r="A10" s="12" t="s">
        <v>2</v>
      </c>
      <c r="B10" s="13" t="s">
        <v>3</v>
      </c>
      <c r="C10" s="13" t="s">
        <v>4</v>
      </c>
      <c r="D10" s="13" t="s">
        <v>5</v>
      </c>
      <c r="E10" s="174">
        <f>'Du toan chi tiet'!E10</f>
        <v>222.56</v>
      </c>
      <c r="F10" s="174"/>
      <c r="G10" s="175"/>
    </row>
    <row r="11" spans="1:7" ht="15">
      <c r="A11" s="12" t="s">
        <v>0</v>
      </c>
      <c r="B11" s="13" t="s">
        <v>0</v>
      </c>
      <c r="C11" s="13" t="s">
        <v>6</v>
      </c>
      <c r="D11" s="13" t="s">
        <v>0</v>
      </c>
      <c r="E11" s="174"/>
      <c r="F11" s="174"/>
      <c r="G11" s="175"/>
    </row>
    <row r="12" spans="1:7" ht="15">
      <c r="A12" s="12" t="s">
        <v>0</v>
      </c>
      <c r="B12" s="13" t="s">
        <v>0</v>
      </c>
      <c r="C12" s="13" t="s">
        <v>7</v>
      </c>
      <c r="D12" s="13" t="s">
        <v>8</v>
      </c>
      <c r="E12" s="174"/>
      <c r="F12" s="174">
        <f>0.0461</f>
        <v>0.0461</v>
      </c>
      <c r="G12" s="175">
        <f>E10*F12</f>
        <v>10.260016</v>
      </c>
    </row>
    <row r="13" spans="1:7" ht="15">
      <c r="A13" s="12" t="s">
        <v>0</v>
      </c>
      <c r="B13" s="13" t="s">
        <v>0</v>
      </c>
      <c r="C13" s="13" t="s">
        <v>9</v>
      </c>
      <c r="D13" s="13" t="s">
        <v>10</v>
      </c>
      <c r="E13" s="174"/>
      <c r="F13" s="174">
        <f>0.00897</f>
        <v>0.00897</v>
      </c>
      <c r="G13" s="175">
        <f>E10*F13</f>
        <v>1.9963632000000002</v>
      </c>
    </row>
    <row r="14" spans="1:7" ht="15">
      <c r="A14" s="12" t="s">
        <v>0</v>
      </c>
      <c r="B14" s="13" t="s">
        <v>0</v>
      </c>
      <c r="C14" s="13" t="s">
        <v>0</v>
      </c>
      <c r="D14" s="13" t="s">
        <v>0</v>
      </c>
      <c r="E14" s="174"/>
      <c r="F14" s="174"/>
      <c r="G14" s="175"/>
    </row>
    <row r="15" spans="1:7" ht="15">
      <c r="A15" s="12" t="s">
        <v>11</v>
      </c>
      <c r="B15" s="13" t="s">
        <v>12</v>
      </c>
      <c r="C15" s="13" t="s">
        <v>13</v>
      </c>
      <c r="D15" s="13" t="s">
        <v>5</v>
      </c>
      <c r="E15" s="174">
        <f>'Du toan chi tiet'!E12</f>
        <v>16.2</v>
      </c>
      <c r="F15" s="174"/>
      <c r="G15" s="175"/>
    </row>
    <row r="16" spans="1:7" ht="15">
      <c r="A16" s="12" t="s">
        <v>0</v>
      </c>
      <c r="B16" s="13" t="s">
        <v>0</v>
      </c>
      <c r="C16" s="13" t="s">
        <v>6</v>
      </c>
      <c r="D16" s="13" t="s">
        <v>0</v>
      </c>
      <c r="E16" s="174"/>
      <c r="F16" s="174"/>
      <c r="G16" s="175"/>
    </row>
    <row r="17" spans="1:7" ht="15">
      <c r="A17" s="12" t="s">
        <v>0</v>
      </c>
      <c r="B17" s="13" t="s">
        <v>0</v>
      </c>
      <c r="C17" s="13" t="s">
        <v>7</v>
      </c>
      <c r="D17" s="13" t="s">
        <v>8</v>
      </c>
      <c r="E17" s="174"/>
      <c r="F17" s="174">
        <f>1.62</f>
        <v>1.62</v>
      </c>
      <c r="G17" s="175">
        <f>E15*F17</f>
        <v>26.244</v>
      </c>
    </row>
    <row r="18" spans="1:7" ht="15">
      <c r="A18" s="12" t="s">
        <v>0</v>
      </c>
      <c r="B18" s="13" t="s">
        <v>0</v>
      </c>
      <c r="C18" s="13" t="s">
        <v>0</v>
      </c>
      <c r="D18" s="13" t="s">
        <v>0</v>
      </c>
      <c r="E18" s="174"/>
      <c r="F18" s="174"/>
      <c r="G18" s="175"/>
    </row>
    <row r="19" spans="1:7" ht="15">
      <c r="A19" s="12" t="s">
        <v>14</v>
      </c>
      <c r="B19" s="13" t="s">
        <v>15</v>
      </c>
      <c r="C19" s="13" t="s">
        <v>16</v>
      </c>
      <c r="D19" s="13" t="s">
        <v>5</v>
      </c>
      <c r="E19" s="174">
        <f>'Du toan chi tiet'!E14</f>
        <v>4.8</v>
      </c>
      <c r="F19" s="174"/>
      <c r="G19" s="175"/>
    </row>
    <row r="20" spans="1:7" ht="15">
      <c r="A20" s="12" t="s">
        <v>0</v>
      </c>
      <c r="B20" s="13" t="s">
        <v>0</v>
      </c>
      <c r="C20" s="13" t="s">
        <v>17</v>
      </c>
      <c r="D20" s="13" t="s">
        <v>0</v>
      </c>
      <c r="E20" s="174"/>
      <c r="F20" s="174"/>
      <c r="G20" s="175"/>
    </row>
    <row r="21" spans="1:7" ht="15">
      <c r="A21" s="12" t="s">
        <v>0</v>
      </c>
      <c r="B21" s="13" t="s">
        <v>0</v>
      </c>
      <c r="C21" s="13" t="s">
        <v>18</v>
      </c>
      <c r="D21" s="13" t="s">
        <v>19</v>
      </c>
      <c r="E21" s="174"/>
      <c r="F21" s="174">
        <f>1.025*193</f>
        <v>197.825</v>
      </c>
      <c r="G21" s="175">
        <f>E19*F21</f>
        <v>949.56</v>
      </c>
    </row>
    <row r="22" spans="1:7" ht="15">
      <c r="A22" s="12" t="s">
        <v>0</v>
      </c>
      <c r="B22" s="13" t="s">
        <v>0</v>
      </c>
      <c r="C22" s="13" t="s">
        <v>20</v>
      </c>
      <c r="D22" s="13" t="s">
        <v>21</v>
      </c>
      <c r="E22" s="174"/>
      <c r="F22" s="174">
        <f>1.025*0.559</f>
        <v>0.572975</v>
      </c>
      <c r="G22" s="175">
        <f>E19*F22</f>
        <v>2.75028</v>
      </c>
    </row>
    <row r="23" spans="1:7" ht="15">
      <c r="A23" s="12" t="s">
        <v>0</v>
      </c>
      <c r="B23" s="13" t="s">
        <v>0</v>
      </c>
      <c r="C23" s="13" t="s">
        <v>22</v>
      </c>
      <c r="D23" s="13" t="s">
        <v>21</v>
      </c>
      <c r="E23" s="174"/>
      <c r="F23" s="174">
        <f>1.025*0.906</f>
        <v>0.92865</v>
      </c>
      <c r="G23" s="175">
        <f>E19*F23</f>
        <v>4.45752</v>
      </c>
    </row>
    <row r="24" spans="1:7" ht="15">
      <c r="A24" s="12" t="s">
        <v>0</v>
      </c>
      <c r="B24" s="13" t="s">
        <v>0</v>
      </c>
      <c r="C24" s="13" t="s">
        <v>23</v>
      </c>
      <c r="D24" s="13" t="s">
        <v>21</v>
      </c>
      <c r="E24" s="174"/>
      <c r="F24" s="174">
        <f>1.025*0.162</f>
        <v>0.16605</v>
      </c>
      <c r="G24" s="175">
        <f>E19*F24</f>
        <v>0.79704</v>
      </c>
    </row>
    <row r="25" spans="1:7" ht="15">
      <c r="A25" s="12" t="s">
        <v>0</v>
      </c>
      <c r="B25" s="13" t="s">
        <v>0</v>
      </c>
      <c r="C25" s="13" t="s">
        <v>24</v>
      </c>
      <c r="D25" s="13" t="s">
        <v>8</v>
      </c>
      <c r="E25" s="174"/>
      <c r="F25" s="174">
        <f>1.07</f>
        <v>1.07</v>
      </c>
      <c r="G25" s="175">
        <f>E19*F25</f>
        <v>5.136</v>
      </c>
    </row>
    <row r="26" spans="1:7" ht="15">
      <c r="A26" s="12" t="s">
        <v>0</v>
      </c>
      <c r="B26" s="13" t="s">
        <v>0</v>
      </c>
      <c r="C26" s="13" t="s">
        <v>25</v>
      </c>
      <c r="D26" s="13" t="s">
        <v>10</v>
      </c>
      <c r="E26" s="174"/>
      <c r="F26" s="174">
        <f>0.095</f>
        <v>0.095</v>
      </c>
      <c r="G26" s="175">
        <f>E19*F26</f>
        <v>0.45599999999999996</v>
      </c>
    </row>
    <row r="27" spans="1:7" ht="15">
      <c r="A27" s="12" t="s">
        <v>0</v>
      </c>
      <c r="B27" s="13" t="s">
        <v>0</v>
      </c>
      <c r="C27" s="13" t="s">
        <v>26</v>
      </c>
      <c r="D27" s="13" t="s">
        <v>10</v>
      </c>
      <c r="E27" s="174"/>
      <c r="F27" s="174">
        <f>0.089</f>
        <v>0.089</v>
      </c>
      <c r="G27" s="175">
        <f>E19*F27</f>
        <v>0.42719999999999997</v>
      </c>
    </row>
    <row r="28" spans="1:7" ht="15">
      <c r="A28" s="12" t="s">
        <v>0</v>
      </c>
      <c r="B28" s="13" t="s">
        <v>0</v>
      </c>
      <c r="C28" s="13" t="s">
        <v>0</v>
      </c>
      <c r="D28" s="13" t="s">
        <v>0</v>
      </c>
      <c r="E28" s="174"/>
      <c r="F28" s="174"/>
      <c r="G28" s="175"/>
    </row>
    <row r="29" spans="1:7" ht="15">
      <c r="A29" s="12" t="s">
        <v>27</v>
      </c>
      <c r="B29" s="13" t="s">
        <v>28</v>
      </c>
      <c r="C29" s="13" t="s">
        <v>29</v>
      </c>
      <c r="D29" s="13" t="s">
        <v>5</v>
      </c>
      <c r="E29" s="174">
        <f>'Du toan chi tiet'!E16</f>
        <v>22.72</v>
      </c>
      <c r="F29" s="174"/>
      <c r="G29" s="175"/>
    </row>
    <row r="30" spans="1:7" ht="15">
      <c r="A30" s="12" t="s">
        <v>0</v>
      </c>
      <c r="B30" s="13" t="s">
        <v>0</v>
      </c>
      <c r="C30" s="13" t="s">
        <v>30</v>
      </c>
      <c r="D30" s="13" t="s">
        <v>0</v>
      </c>
      <c r="E30" s="174"/>
      <c r="F30" s="174"/>
      <c r="G30" s="175"/>
    </row>
    <row r="31" spans="1:7" ht="15">
      <c r="A31" s="12" t="s">
        <v>0</v>
      </c>
      <c r="B31" s="13" t="s">
        <v>0</v>
      </c>
      <c r="C31" s="13" t="s">
        <v>31</v>
      </c>
      <c r="D31" s="13" t="s">
        <v>19</v>
      </c>
      <c r="E31" s="174"/>
      <c r="F31" s="174">
        <f>1.025*205</f>
        <v>210.12499999999997</v>
      </c>
      <c r="G31" s="175">
        <f>E29*F31</f>
        <v>4774.039999999999</v>
      </c>
    </row>
    <row r="32" spans="1:7" ht="15">
      <c r="A32" s="12" t="s">
        <v>0</v>
      </c>
      <c r="B32" s="13" t="s">
        <v>0</v>
      </c>
      <c r="C32" s="13" t="s">
        <v>20</v>
      </c>
      <c r="D32" s="13" t="s">
        <v>21</v>
      </c>
      <c r="E32" s="174"/>
      <c r="F32" s="174">
        <f>1.025*0.549</f>
        <v>0.562725</v>
      </c>
      <c r="G32" s="175">
        <f>E29*F32</f>
        <v>12.785112</v>
      </c>
    </row>
    <row r="33" spans="1:7" ht="15">
      <c r="A33" s="12" t="s">
        <v>0</v>
      </c>
      <c r="B33" s="13" t="s">
        <v>0</v>
      </c>
      <c r="C33" s="13" t="s">
        <v>32</v>
      </c>
      <c r="D33" s="13" t="s">
        <v>21</v>
      </c>
      <c r="E33" s="174"/>
      <c r="F33" s="174">
        <f>1.025*0.89</f>
        <v>0.9122499999999999</v>
      </c>
      <c r="G33" s="175">
        <f>E29*F33</f>
        <v>20.726319999999998</v>
      </c>
    </row>
    <row r="34" spans="1:7" ht="15">
      <c r="A34" s="12" t="s">
        <v>0</v>
      </c>
      <c r="B34" s="13" t="s">
        <v>0</v>
      </c>
      <c r="C34" s="13" t="s">
        <v>23</v>
      </c>
      <c r="D34" s="13" t="s">
        <v>21</v>
      </c>
      <c r="E34" s="174"/>
      <c r="F34" s="174">
        <f>1.025*0.172</f>
        <v>0.17629999999999996</v>
      </c>
      <c r="G34" s="175">
        <f>E29*F34</f>
        <v>4.005535999999998</v>
      </c>
    </row>
    <row r="35" spans="1:7" ht="15">
      <c r="A35" s="12" t="s">
        <v>0</v>
      </c>
      <c r="B35" s="13" t="s">
        <v>0</v>
      </c>
      <c r="C35" s="13" t="s">
        <v>24</v>
      </c>
      <c r="D35" s="13" t="s">
        <v>8</v>
      </c>
      <c r="E35" s="174"/>
      <c r="F35" s="174">
        <f>1.23</f>
        <v>1.23</v>
      </c>
      <c r="G35" s="175">
        <f>E29*F35</f>
        <v>27.9456</v>
      </c>
    </row>
    <row r="36" spans="1:7" ht="15">
      <c r="A36" s="12" t="s">
        <v>0</v>
      </c>
      <c r="B36" s="13" t="s">
        <v>0</v>
      </c>
      <c r="C36" s="13" t="s">
        <v>25</v>
      </c>
      <c r="D36" s="13" t="s">
        <v>10</v>
      </c>
      <c r="E36" s="174"/>
      <c r="F36" s="174">
        <f>0.095</f>
        <v>0.095</v>
      </c>
      <c r="G36" s="175">
        <f>E29*F36</f>
        <v>2.1584</v>
      </c>
    </row>
    <row r="37" spans="1:7" ht="15">
      <c r="A37" s="12" t="s">
        <v>0</v>
      </c>
      <c r="B37" s="13" t="s">
        <v>0</v>
      </c>
      <c r="C37" s="13" t="s">
        <v>33</v>
      </c>
      <c r="D37" s="13" t="s">
        <v>10</v>
      </c>
      <c r="E37" s="174"/>
      <c r="F37" s="174">
        <f>0.089</f>
        <v>0.089</v>
      </c>
      <c r="G37" s="175">
        <f>E29*F37</f>
        <v>2.02208</v>
      </c>
    </row>
    <row r="38" spans="1:7" ht="15">
      <c r="A38" s="12" t="s">
        <v>0</v>
      </c>
      <c r="B38" s="13" t="s">
        <v>0</v>
      </c>
      <c r="C38" s="13" t="s">
        <v>0</v>
      </c>
      <c r="D38" s="13" t="s">
        <v>0</v>
      </c>
      <c r="E38" s="174"/>
      <c r="F38" s="174"/>
      <c r="G38" s="175"/>
    </row>
    <row r="39" spans="1:7" ht="15">
      <c r="A39" s="12" t="s">
        <v>34</v>
      </c>
      <c r="B39" s="13" t="s">
        <v>35</v>
      </c>
      <c r="C39" s="13" t="s">
        <v>36</v>
      </c>
      <c r="D39" s="13" t="s">
        <v>5</v>
      </c>
      <c r="E39" s="174">
        <f>'Du toan chi tiet'!E18</f>
        <v>2.56</v>
      </c>
      <c r="F39" s="174"/>
      <c r="G39" s="175"/>
    </row>
    <row r="40" spans="1:7" ht="15">
      <c r="A40" s="12" t="s">
        <v>0</v>
      </c>
      <c r="B40" s="13" t="s">
        <v>0</v>
      </c>
      <c r="C40" s="13" t="s">
        <v>37</v>
      </c>
      <c r="D40" s="13" t="s">
        <v>0</v>
      </c>
      <c r="E40" s="174"/>
      <c r="F40" s="174"/>
      <c r="G40" s="175"/>
    </row>
    <row r="41" spans="1:7" ht="15">
      <c r="A41" s="12" t="s">
        <v>0</v>
      </c>
      <c r="B41" s="13" t="s">
        <v>0</v>
      </c>
      <c r="C41" s="13" t="s">
        <v>31</v>
      </c>
      <c r="D41" s="13" t="s">
        <v>19</v>
      </c>
      <c r="E41" s="174"/>
      <c r="F41" s="174">
        <f>1.025*259</f>
        <v>265.47499999999997</v>
      </c>
      <c r="G41" s="175">
        <f>E39*F41</f>
        <v>679.6159999999999</v>
      </c>
    </row>
    <row r="42" spans="1:7" ht="15">
      <c r="A42" s="12" t="s">
        <v>0</v>
      </c>
      <c r="B42" s="13" t="s">
        <v>0</v>
      </c>
      <c r="C42" s="13" t="s">
        <v>20</v>
      </c>
      <c r="D42" s="13" t="s">
        <v>21</v>
      </c>
      <c r="E42" s="174"/>
      <c r="F42" s="174">
        <f>1.025*0.528</f>
        <v>0.5412</v>
      </c>
      <c r="G42" s="175">
        <f>E39*F42</f>
        <v>1.385472</v>
      </c>
    </row>
    <row r="43" spans="1:7" ht="15">
      <c r="A43" s="12" t="s">
        <v>0</v>
      </c>
      <c r="B43" s="13" t="s">
        <v>0</v>
      </c>
      <c r="C43" s="13" t="s">
        <v>38</v>
      </c>
      <c r="D43" s="13" t="s">
        <v>21</v>
      </c>
      <c r="E43" s="174"/>
      <c r="F43" s="174">
        <f>1.025*0.871</f>
        <v>0.8927749999999999</v>
      </c>
      <c r="G43" s="175">
        <f>E39*F43</f>
        <v>2.2855039999999995</v>
      </c>
    </row>
    <row r="44" spans="1:7" ht="15">
      <c r="A44" s="12" t="s">
        <v>0</v>
      </c>
      <c r="B44" s="13" t="s">
        <v>0</v>
      </c>
      <c r="C44" s="13" t="s">
        <v>23</v>
      </c>
      <c r="D44" s="13" t="s">
        <v>21</v>
      </c>
      <c r="E44" s="174"/>
      <c r="F44" s="174">
        <f>1.025*0.183</f>
        <v>0.187575</v>
      </c>
      <c r="G44" s="175">
        <f>E39*F44</f>
        <v>0.480192</v>
      </c>
    </row>
    <row r="45" spans="1:7" ht="15">
      <c r="A45" s="12" t="s">
        <v>0</v>
      </c>
      <c r="B45" s="13" t="s">
        <v>0</v>
      </c>
      <c r="C45" s="13" t="s">
        <v>24</v>
      </c>
      <c r="D45" s="13" t="s">
        <v>8</v>
      </c>
      <c r="E45" s="174"/>
      <c r="F45" s="174">
        <f>1.23</f>
        <v>1.23</v>
      </c>
      <c r="G45" s="175">
        <f>E39*F45</f>
        <v>3.1488</v>
      </c>
    </row>
    <row r="46" spans="1:7" ht="15">
      <c r="A46" s="12" t="s">
        <v>0</v>
      </c>
      <c r="B46" s="13" t="s">
        <v>0</v>
      </c>
      <c r="C46" s="13" t="s">
        <v>25</v>
      </c>
      <c r="D46" s="13" t="s">
        <v>10</v>
      </c>
      <c r="E46" s="174"/>
      <c r="F46" s="174">
        <f>0.095</f>
        <v>0.095</v>
      </c>
      <c r="G46" s="175">
        <f>E39*F46</f>
        <v>0.2432</v>
      </c>
    </row>
    <row r="47" spans="1:7" ht="15">
      <c r="A47" s="12" t="s">
        <v>0</v>
      </c>
      <c r="B47" s="13" t="s">
        <v>0</v>
      </c>
      <c r="C47" s="13" t="s">
        <v>33</v>
      </c>
      <c r="D47" s="13" t="s">
        <v>10</v>
      </c>
      <c r="E47" s="174"/>
      <c r="F47" s="174">
        <f>0.089</f>
        <v>0.089</v>
      </c>
      <c r="G47" s="175">
        <f>E39*F47</f>
        <v>0.22784</v>
      </c>
    </row>
    <row r="48" spans="1:7" ht="15">
      <c r="A48" s="12" t="s">
        <v>0</v>
      </c>
      <c r="B48" s="13" t="s">
        <v>0</v>
      </c>
      <c r="C48" s="13" t="s">
        <v>0</v>
      </c>
      <c r="D48" s="13" t="s">
        <v>0</v>
      </c>
      <c r="E48" s="174"/>
      <c r="F48" s="174"/>
      <c r="G48" s="175"/>
    </row>
    <row r="49" spans="1:7" ht="15">
      <c r="A49" s="12" t="s">
        <v>39</v>
      </c>
      <c r="B49" s="13" t="s">
        <v>40</v>
      </c>
      <c r="C49" s="13" t="s">
        <v>41</v>
      </c>
      <c r="D49" s="13" t="s">
        <v>42</v>
      </c>
      <c r="E49" s="174">
        <f>'Du toan chi tiet'!E20</f>
        <v>105.12</v>
      </c>
      <c r="F49" s="174"/>
      <c r="G49" s="175"/>
    </row>
    <row r="50" spans="1:7" ht="15">
      <c r="A50" s="12" t="s">
        <v>0</v>
      </c>
      <c r="B50" s="13" t="s">
        <v>0</v>
      </c>
      <c r="C50" s="13" t="s">
        <v>43</v>
      </c>
      <c r="D50" s="13" t="s">
        <v>21</v>
      </c>
      <c r="E50" s="174"/>
      <c r="F50" s="174">
        <f>0.00794</f>
        <v>0.00794</v>
      </c>
      <c r="G50" s="175">
        <f>E49*F50</f>
        <v>0.8346528</v>
      </c>
    </row>
    <row r="51" spans="1:7" ht="15">
      <c r="A51" s="12" t="s">
        <v>0</v>
      </c>
      <c r="B51" s="13" t="s">
        <v>0</v>
      </c>
      <c r="C51" s="13" t="s">
        <v>44</v>
      </c>
      <c r="D51" s="13" t="s">
        <v>21</v>
      </c>
      <c r="E51" s="174"/>
      <c r="F51" s="174">
        <f>0.0021</f>
        <v>0.0021</v>
      </c>
      <c r="G51" s="175">
        <f>E49*F51</f>
        <v>0.220752</v>
      </c>
    </row>
    <row r="52" spans="1:7" ht="15">
      <c r="A52" s="12" t="s">
        <v>0</v>
      </c>
      <c r="B52" s="13" t="s">
        <v>0</v>
      </c>
      <c r="C52" s="13" t="s">
        <v>45</v>
      </c>
      <c r="D52" s="13" t="s">
        <v>21</v>
      </c>
      <c r="E52" s="174"/>
      <c r="F52" s="174">
        <f>0.00335</f>
        <v>0.00335</v>
      </c>
      <c r="G52" s="175">
        <f>E49*F52</f>
        <v>0.352152</v>
      </c>
    </row>
    <row r="53" spans="1:7" ht="15">
      <c r="A53" s="12" t="s">
        <v>0</v>
      </c>
      <c r="B53" s="13" t="s">
        <v>0</v>
      </c>
      <c r="C53" s="13" t="s">
        <v>46</v>
      </c>
      <c r="D53" s="13" t="s">
        <v>19</v>
      </c>
      <c r="E53" s="174"/>
      <c r="F53" s="174">
        <f>0.15</f>
        <v>0.15</v>
      </c>
      <c r="G53" s="175">
        <f>E49*F53</f>
        <v>15.768</v>
      </c>
    </row>
    <row r="54" spans="1:7" ht="15">
      <c r="A54" s="12" t="s">
        <v>0</v>
      </c>
      <c r="B54" s="13" t="s">
        <v>0</v>
      </c>
      <c r="C54" s="13" t="s">
        <v>47</v>
      </c>
      <c r="D54" s="13" t="s">
        <v>8</v>
      </c>
      <c r="E54" s="174"/>
      <c r="F54" s="174">
        <f>0.297</f>
        <v>0.297</v>
      </c>
      <c r="G54" s="175">
        <f>E49*F54</f>
        <v>31.22064</v>
      </c>
    </row>
    <row r="55" spans="1:7" ht="15">
      <c r="A55" s="12" t="s">
        <v>0</v>
      </c>
      <c r="B55" s="13" t="s">
        <v>0</v>
      </c>
      <c r="C55" s="13" t="s">
        <v>0</v>
      </c>
      <c r="D55" s="13" t="s">
        <v>0</v>
      </c>
      <c r="E55" s="174"/>
      <c r="F55" s="174"/>
      <c r="G55" s="175"/>
    </row>
    <row r="56" spans="1:7" ht="15">
      <c r="A56" s="12" t="s">
        <v>48</v>
      </c>
      <c r="B56" s="13" t="s">
        <v>49</v>
      </c>
      <c r="C56" s="13" t="s">
        <v>50</v>
      </c>
      <c r="D56" s="13" t="s">
        <v>5</v>
      </c>
      <c r="E56" s="174">
        <f>'Du toan chi tiet'!E22</f>
        <v>208.68</v>
      </c>
      <c r="F56" s="174"/>
      <c r="G56" s="175"/>
    </row>
    <row r="57" spans="1:7" ht="15">
      <c r="A57" s="12" t="s">
        <v>0</v>
      </c>
      <c r="B57" s="13" t="s">
        <v>0</v>
      </c>
      <c r="C57" s="13" t="s">
        <v>51</v>
      </c>
      <c r="D57" s="13" t="s">
        <v>0</v>
      </c>
      <c r="E57" s="174"/>
      <c r="F57" s="174"/>
      <c r="G57" s="175"/>
    </row>
    <row r="58" spans="1:7" ht="15">
      <c r="A58" s="12" t="s">
        <v>0</v>
      </c>
      <c r="B58" s="13" t="s">
        <v>0</v>
      </c>
      <c r="C58" s="13" t="s">
        <v>7</v>
      </c>
      <c r="D58" s="13" t="s">
        <v>8</v>
      </c>
      <c r="E58" s="174"/>
      <c r="F58" s="174">
        <f>0.0539</f>
        <v>0.0539</v>
      </c>
      <c r="G58" s="175">
        <f>E56*F58</f>
        <v>11.247852000000002</v>
      </c>
    </row>
    <row r="59" spans="1:7" ht="15">
      <c r="A59" s="12" t="s">
        <v>0</v>
      </c>
      <c r="B59" s="13" t="s">
        <v>0</v>
      </c>
      <c r="C59" s="13" t="s">
        <v>52</v>
      </c>
      <c r="D59" s="13" t="s">
        <v>10</v>
      </c>
      <c r="E59" s="174"/>
      <c r="F59" s="174">
        <f>0.0335</f>
        <v>0.0335</v>
      </c>
      <c r="G59" s="175">
        <f>E56*F59</f>
        <v>6.990780000000001</v>
      </c>
    </row>
    <row r="60" spans="1:7" ht="15">
      <c r="A60" s="12" t="s">
        <v>0</v>
      </c>
      <c r="B60" s="13" t="s">
        <v>0</v>
      </c>
      <c r="C60" s="13" t="s">
        <v>0</v>
      </c>
      <c r="D60" s="13" t="s">
        <v>0</v>
      </c>
      <c r="E60" s="174"/>
      <c r="F60" s="174"/>
      <c r="G60" s="175"/>
    </row>
    <row r="61" spans="1:7" ht="15">
      <c r="A61" s="12" t="s">
        <v>53</v>
      </c>
      <c r="B61" s="13" t="s">
        <v>54</v>
      </c>
      <c r="C61" s="13" t="s">
        <v>55</v>
      </c>
      <c r="D61" s="13" t="s">
        <v>56</v>
      </c>
      <c r="E61" s="174">
        <f>'Du toan chi tiet'!E24</f>
        <v>5</v>
      </c>
      <c r="F61" s="174"/>
      <c r="G61" s="175"/>
    </row>
    <row r="62" spans="1:7" ht="15">
      <c r="A62" s="12" t="s">
        <v>0</v>
      </c>
      <c r="B62" s="13" t="s">
        <v>0</v>
      </c>
      <c r="C62" s="13" t="s">
        <v>57</v>
      </c>
      <c r="D62" s="13" t="s">
        <v>58</v>
      </c>
      <c r="E62" s="174"/>
      <c r="F62" s="174">
        <f>1</f>
        <v>1</v>
      </c>
      <c r="G62" s="175">
        <f>E61*F62</f>
        <v>5</v>
      </c>
    </row>
    <row r="63" spans="1:7" ht="15">
      <c r="A63" s="12" t="s">
        <v>0</v>
      </c>
      <c r="B63" s="13" t="s">
        <v>0</v>
      </c>
      <c r="C63" s="13" t="s">
        <v>47</v>
      </c>
      <c r="D63" s="13" t="s">
        <v>8</v>
      </c>
      <c r="E63" s="174"/>
      <c r="F63" s="174">
        <f>1.63</f>
        <v>1.63</v>
      </c>
      <c r="G63" s="175">
        <f>E61*F63</f>
        <v>8.149999999999999</v>
      </c>
    </row>
    <row r="64" spans="1:7" ht="15">
      <c r="A64" s="12" t="s">
        <v>0</v>
      </c>
      <c r="B64" s="13" t="s">
        <v>0</v>
      </c>
      <c r="C64" s="13" t="s">
        <v>59</v>
      </c>
      <c r="D64" s="13" t="s">
        <v>10</v>
      </c>
      <c r="E64" s="174"/>
      <c r="F64" s="174">
        <f>0.15</f>
        <v>0.15</v>
      </c>
      <c r="G64" s="175">
        <f>E61*F64</f>
        <v>0.75</v>
      </c>
    </row>
    <row r="65" spans="1:7" ht="15">
      <c r="A65" s="12" t="s">
        <v>0</v>
      </c>
      <c r="B65" s="13" t="s">
        <v>0</v>
      </c>
      <c r="C65" s="13" t="s">
        <v>0</v>
      </c>
      <c r="D65" s="13" t="s">
        <v>0</v>
      </c>
      <c r="E65" s="174"/>
      <c r="F65" s="174"/>
      <c r="G65" s="175"/>
    </row>
    <row r="66" spans="1:7" ht="15">
      <c r="A66" s="12" t="s">
        <v>60</v>
      </c>
      <c r="B66" s="13" t="s">
        <v>61</v>
      </c>
      <c r="C66" s="13" t="s">
        <v>62</v>
      </c>
      <c r="D66" s="13" t="s">
        <v>56</v>
      </c>
      <c r="E66" s="174">
        <f>'Du toan chi tiet'!E26</f>
        <v>3</v>
      </c>
      <c r="F66" s="174"/>
      <c r="G66" s="175"/>
    </row>
    <row r="67" spans="1:7" ht="15">
      <c r="A67" s="12" t="s">
        <v>0</v>
      </c>
      <c r="B67" s="13" t="s">
        <v>0</v>
      </c>
      <c r="C67" s="13" t="s">
        <v>63</v>
      </c>
      <c r="D67" s="13" t="s">
        <v>58</v>
      </c>
      <c r="E67" s="174"/>
      <c r="F67" s="174">
        <f>1</f>
        <v>1</v>
      </c>
      <c r="G67" s="175">
        <f>E66*F67</f>
        <v>3</v>
      </c>
    </row>
    <row r="68" spans="1:7" ht="15">
      <c r="A68" s="12" t="s">
        <v>0</v>
      </c>
      <c r="B68" s="13" t="s">
        <v>0</v>
      </c>
      <c r="C68" s="13" t="s">
        <v>47</v>
      </c>
      <c r="D68" s="13" t="s">
        <v>8</v>
      </c>
      <c r="E68" s="174"/>
      <c r="F68" s="174">
        <f>1.63</f>
        <v>1.63</v>
      </c>
      <c r="G68" s="175">
        <f>E66*F68</f>
        <v>4.89</v>
      </c>
    </row>
    <row r="69" spans="1:7" ht="15">
      <c r="A69" s="12" t="s">
        <v>0</v>
      </c>
      <c r="B69" s="13" t="s">
        <v>0</v>
      </c>
      <c r="C69" s="13" t="s">
        <v>59</v>
      </c>
      <c r="D69" s="13" t="s">
        <v>10</v>
      </c>
      <c r="E69" s="174"/>
      <c r="F69" s="174">
        <f>0.15</f>
        <v>0.15</v>
      </c>
      <c r="G69" s="175">
        <f>E66*F69</f>
        <v>0.44999999999999996</v>
      </c>
    </row>
    <row r="70" spans="1:7" ht="15">
      <c r="A70" s="12" t="s">
        <v>0</v>
      </c>
      <c r="B70" s="13" t="s">
        <v>0</v>
      </c>
      <c r="C70" s="13" t="s">
        <v>0</v>
      </c>
      <c r="D70" s="13" t="s">
        <v>0</v>
      </c>
      <c r="E70" s="174"/>
      <c r="F70" s="174"/>
      <c r="G70" s="175"/>
    </row>
    <row r="71" spans="1:7" ht="15">
      <c r="A71" s="12" t="s">
        <v>64</v>
      </c>
      <c r="B71" s="13" t="s">
        <v>65</v>
      </c>
      <c r="C71" s="13" t="s">
        <v>66</v>
      </c>
      <c r="D71" s="13" t="s">
        <v>56</v>
      </c>
      <c r="E71" s="174">
        <f>'Du toan chi tiet'!E28</f>
        <v>22</v>
      </c>
      <c r="F71" s="174"/>
      <c r="G71" s="175"/>
    </row>
    <row r="72" spans="1:7" ht="15">
      <c r="A72" s="12" t="s">
        <v>0</v>
      </c>
      <c r="B72" s="13" t="s">
        <v>0</v>
      </c>
      <c r="C72" s="13" t="s">
        <v>67</v>
      </c>
      <c r="D72" s="13" t="s">
        <v>58</v>
      </c>
      <c r="E72" s="174"/>
      <c r="F72" s="174">
        <f>1</f>
        <v>1</v>
      </c>
      <c r="G72" s="175">
        <f>E71*F72</f>
        <v>22</v>
      </c>
    </row>
    <row r="73" spans="1:7" ht="15">
      <c r="A73" s="12" t="s">
        <v>0</v>
      </c>
      <c r="B73" s="13" t="s">
        <v>0</v>
      </c>
      <c r="C73" s="13" t="s">
        <v>47</v>
      </c>
      <c r="D73" s="13" t="s">
        <v>8</v>
      </c>
      <c r="E73" s="174"/>
      <c r="F73" s="174">
        <f>1.63</f>
        <v>1.63</v>
      </c>
      <c r="G73" s="175">
        <f>E71*F73</f>
        <v>35.86</v>
      </c>
    </row>
    <row r="74" spans="1:7" ht="15">
      <c r="A74" s="12" t="s">
        <v>0</v>
      </c>
      <c r="B74" s="13" t="s">
        <v>0</v>
      </c>
      <c r="C74" s="13" t="s">
        <v>59</v>
      </c>
      <c r="D74" s="13" t="s">
        <v>10</v>
      </c>
      <c r="E74" s="174"/>
      <c r="F74" s="174">
        <f>0.15</f>
        <v>0.15</v>
      </c>
      <c r="G74" s="175">
        <f>E71*F74</f>
        <v>3.3</v>
      </c>
    </row>
    <row r="75" spans="1:7" ht="15">
      <c r="A75" s="12" t="s">
        <v>0</v>
      </c>
      <c r="B75" s="13" t="s">
        <v>0</v>
      </c>
      <c r="C75" s="13" t="s">
        <v>0</v>
      </c>
      <c r="D75" s="13" t="s">
        <v>0</v>
      </c>
      <c r="E75" s="174"/>
      <c r="F75" s="174"/>
      <c r="G75" s="175"/>
    </row>
    <row r="76" spans="1:7" ht="15">
      <c r="A76" s="12" t="s">
        <v>68</v>
      </c>
      <c r="B76" s="13" t="s">
        <v>69</v>
      </c>
      <c r="C76" s="13" t="s">
        <v>70</v>
      </c>
      <c r="D76" s="13" t="s">
        <v>56</v>
      </c>
      <c r="E76" s="174">
        <f>'Du toan chi tiet'!E30</f>
        <v>2</v>
      </c>
      <c r="F76" s="174"/>
      <c r="G76" s="175"/>
    </row>
    <row r="77" spans="1:7" ht="15">
      <c r="A77" s="12" t="s">
        <v>0</v>
      </c>
      <c r="B77" s="13" t="s">
        <v>0</v>
      </c>
      <c r="C77" s="13" t="s">
        <v>71</v>
      </c>
      <c r="D77" s="13" t="s">
        <v>58</v>
      </c>
      <c r="E77" s="174"/>
      <c r="F77" s="174">
        <f>1</f>
        <v>1</v>
      </c>
      <c r="G77" s="175">
        <f>E76*F77</f>
        <v>2</v>
      </c>
    </row>
    <row r="78" spans="1:7" ht="15">
      <c r="A78" s="12" t="s">
        <v>0</v>
      </c>
      <c r="B78" s="13" t="s">
        <v>0</v>
      </c>
      <c r="C78" s="13" t="s">
        <v>47</v>
      </c>
      <c r="D78" s="13" t="s">
        <v>8</v>
      </c>
      <c r="E78" s="174"/>
      <c r="F78" s="174">
        <f>1.63</f>
        <v>1.63</v>
      </c>
      <c r="G78" s="175">
        <f>E76*F78</f>
        <v>3.26</v>
      </c>
    </row>
    <row r="79" spans="1:7" ht="15">
      <c r="A79" s="12" t="s">
        <v>0</v>
      </c>
      <c r="B79" s="13" t="s">
        <v>0</v>
      </c>
      <c r="C79" s="13" t="s">
        <v>59</v>
      </c>
      <c r="D79" s="13" t="s">
        <v>10</v>
      </c>
      <c r="E79" s="174"/>
      <c r="F79" s="174">
        <f>0.15</f>
        <v>0.15</v>
      </c>
      <c r="G79" s="175">
        <f>E76*F79</f>
        <v>0.3</v>
      </c>
    </row>
    <row r="80" spans="1:7" ht="15">
      <c r="A80" s="12" t="s">
        <v>0</v>
      </c>
      <c r="B80" s="13" t="s">
        <v>0</v>
      </c>
      <c r="C80" s="13" t="s">
        <v>0</v>
      </c>
      <c r="D80" s="13" t="s">
        <v>0</v>
      </c>
      <c r="E80" s="174"/>
      <c r="F80" s="174"/>
      <c r="G80" s="175"/>
    </row>
    <row r="81" spans="1:7" ht="15">
      <c r="A81" s="12" t="s">
        <v>72</v>
      </c>
      <c r="B81" s="13" t="s">
        <v>73</v>
      </c>
      <c r="C81" s="13" t="s">
        <v>74</v>
      </c>
      <c r="D81" s="13" t="s">
        <v>75</v>
      </c>
      <c r="E81" s="174">
        <f>'Du toan chi tiet'!E32</f>
        <v>14</v>
      </c>
      <c r="F81" s="174"/>
      <c r="G81" s="175"/>
    </row>
    <row r="82" spans="1:7" ht="15">
      <c r="A82" s="12" t="s">
        <v>0</v>
      </c>
      <c r="B82" s="13" t="s">
        <v>0</v>
      </c>
      <c r="C82" s="13" t="s">
        <v>76</v>
      </c>
      <c r="D82" s="13" t="s">
        <v>77</v>
      </c>
      <c r="E82" s="174"/>
      <c r="F82" s="174">
        <f>1</f>
        <v>1</v>
      </c>
      <c r="G82" s="175">
        <f>E81*F82</f>
        <v>14</v>
      </c>
    </row>
    <row r="83" spans="1:7" ht="15">
      <c r="A83" s="12" t="s">
        <v>0</v>
      </c>
      <c r="B83" s="13" t="s">
        <v>0</v>
      </c>
      <c r="C83" s="13" t="s">
        <v>78</v>
      </c>
      <c r="D83" s="13" t="s">
        <v>79</v>
      </c>
      <c r="E83" s="174"/>
      <c r="F83" s="174">
        <f>1</f>
        <v>1</v>
      </c>
      <c r="G83" s="175">
        <f>E81*F83</f>
        <v>14</v>
      </c>
    </row>
    <row r="84" spans="1:7" ht="15">
      <c r="A84" s="12" t="s">
        <v>0</v>
      </c>
      <c r="B84" s="13" t="s">
        <v>0</v>
      </c>
      <c r="C84" s="13" t="s">
        <v>47</v>
      </c>
      <c r="D84" s="13" t="s">
        <v>8</v>
      </c>
      <c r="E84" s="174"/>
      <c r="F84" s="174">
        <f>0.75</f>
        <v>0.75</v>
      </c>
      <c r="G84" s="175">
        <f>E81*F84</f>
        <v>10.5</v>
      </c>
    </row>
    <row r="85" spans="1:7" ht="15">
      <c r="A85" s="12" t="s">
        <v>0</v>
      </c>
      <c r="B85" s="13" t="s">
        <v>0</v>
      </c>
      <c r="C85" s="13" t="s">
        <v>80</v>
      </c>
      <c r="D85" s="13" t="s">
        <v>10</v>
      </c>
      <c r="E85" s="174"/>
      <c r="F85" s="174">
        <f>0.17</f>
        <v>0.17</v>
      </c>
      <c r="G85" s="175">
        <f>E81*F85</f>
        <v>2.3800000000000003</v>
      </c>
    </row>
    <row r="86" spans="1:7" ht="15">
      <c r="A86" s="12" t="s">
        <v>0</v>
      </c>
      <c r="B86" s="13" t="s">
        <v>0</v>
      </c>
      <c r="C86" s="13" t="s">
        <v>0</v>
      </c>
      <c r="D86" s="13" t="s">
        <v>0</v>
      </c>
      <c r="E86" s="174"/>
      <c r="F86" s="174"/>
      <c r="G86" s="175"/>
    </row>
    <row r="87" spans="1:7" ht="15">
      <c r="A87" s="12" t="s">
        <v>81</v>
      </c>
      <c r="B87" s="13" t="s">
        <v>82</v>
      </c>
      <c r="C87" s="13" t="s">
        <v>83</v>
      </c>
      <c r="D87" s="13" t="s">
        <v>75</v>
      </c>
      <c r="E87" s="174">
        <f>'Du toan chi tiet'!E34</f>
        <v>22</v>
      </c>
      <c r="F87" s="174"/>
      <c r="G87" s="175"/>
    </row>
    <row r="88" spans="1:7" ht="15">
      <c r="A88" s="12" t="s">
        <v>0</v>
      </c>
      <c r="B88" s="13" t="s">
        <v>0</v>
      </c>
      <c r="C88" s="13" t="s">
        <v>84</v>
      </c>
      <c r="D88" s="13" t="s">
        <v>77</v>
      </c>
      <c r="E88" s="174"/>
      <c r="F88" s="174">
        <f>1</f>
        <v>1</v>
      </c>
      <c r="G88" s="175">
        <f>E87*F88</f>
        <v>22</v>
      </c>
    </row>
    <row r="89" spans="1:7" ht="15">
      <c r="A89" s="12" t="s">
        <v>0</v>
      </c>
      <c r="B89" s="13" t="s">
        <v>0</v>
      </c>
      <c r="C89" s="13" t="s">
        <v>78</v>
      </c>
      <c r="D89" s="13" t="s">
        <v>79</v>
      </c>
      <c r="E89" s="174"/>
      <c r="F89" s="174">
        <f>1</f>
        <v>1</v>
      </c>
      <c r="G89" s="175">
        <f>E87*F89</f>
        <v>22</v>
      </c>
    </row>
    <row r="90" spans="1:7" ht="15">
      <c r="A90" s="12" t="s">
        <v>0</v>
      </c>
      <c r="B90" s="13" t="s">
        <v>0</v>
      </c>
      <c r="C90" s="13" t="s">
        <v>47</v>
      </c>
      <c r="D90" s="13" t="s">
        <v>8</v>
      </c>
      <c r="E90" s="174"/>
      <c r="F90" s="174">
        <f>0.75</f>
        <v>0.75</v>
      </c>
      <c r="G90" s="175">
        <f>E87*F90</f>
        <v>16.5</v>
      </c>
    </row>
    <row r="91" spans="1:7" ht="15">
      <c r="A91" s="12" t="s">
        <v>0</v>
      </c>
      <c r="B91" s="13" t="s">
        <v>0</v>
      </c>
      <c r="C91" s="13" t="s">
        <v>80</v>
      </c>
      <c r="D91" s="13" t="s">
        <v>10</v>
      </c>
      <c r="E91" s="174"/>
      <c r="F91" s="174">
        <f>0.17</f>
        <v>0.17</v>
      </c>
      <c r="G91" s="175">
        <f>E87*F91</f>
        <v>3.74</v>
      </c>
    </row>
    <row r="92" spans="1:7" ht="15">
      <c r="A92" s="12" t="s">
        <v>0</v>
      </c>
      <c r="B92" s="13" t="s">
        <v>0</v>
      </c>
      <c r="C92" s="13" t="s">
        <v>0</v>
      </c>
      <c r="D92" s="13" t="s">
        <v>0</v>
      </c>
      <c r="E92" s="174"/>
      <c r="F92" s="174"/>
      <c r="G92" s="175"/>
    </row>
    <row r="93" spans="1:7" ht="15">
      <c r="A93" s="12" t="s">
        <v>85</v>
      </c>
      <c r="B93" s="13" t="s">
        <v>86</v>
      </c>
      <c r="C93" s="13" t="s">
        <v>87</v>
      </c>
      <c r="D93" s="13" t="s">
        <v>88</v>
      </c>
      <c r="E93" s="174">
        <f>'Du toan chi tiet'!E36</f>
        <v>36</v>
      </c>
      <c r="F93" s="174"/>
      <c r="G93" s="175"/>
    </row>
    <row r="94" spans="1:7" ht="15">
      <c r="A94" s="12" t="s">
        <v>0</v>
      </c>
      <c r="B94" s="13" t="s">
        <v>0</v>
      </c>
      <c r="C94" s="13" t="s">
        <v>89</v>
      </c>
      <c r="D94" s="13" t="s">
        <v>77</v>
      </c>
      <c r="E94" s="174"/>
      <c r="F94" s="174">
        <f>1</f>
        <v>1</v>
      </c>
      <c r="G94" s="175">
        <f>E93*F94</f>
        <v>36</v>
      </c>
    </row>
    <row r="95" spans="1:7" ht="15">
      <c r="A95" s="12" t="s">
        <v>0</v>
      </c>
      <c r="B95" s="13" t="s">
        <v>0</v>
      </c>
      <c r="C95" s="13" t="s">
        <v>47</v>
      </c>
      <c r="D95" s="13" t="s">
        <v>8</v>
      </c>
      <c r="E95" s="174"/>
      <c r="F95" s="174">
        <f>0.26</f>
        <v>0.26</v>
      </c>
      <c r="G95" s="175">
        <f>E93*F95</f>
        <v>9.36</v>
      </c>
    </row>
    <row r="96" spans="1:7" ht="15">
      <c r="A96" s="12" t="s">
        <v>0</v>
      </c>
      <c r="B96" s="13" t="s">
        <v>0</v>
      </c>
      <c r="C96" s="13" t="s">
        <v>80</v>
      </c>
      <c r="D96" s="13" t="s">
        <v>10</v>
      </c>
      <c r="E96" s="174"/>
      <c r="F96" s="174">
        <f>0.13</f>
        <v>0.13</v>
      </c>
      <c r="G96" s="175">
        <f>E93*F96</f>
        <v>4.68</v>
      </c>
    </row>
    <row r="97" spans="1:7" ht="15">
      <c r="A97" s="12" t="s">
        <v>0</v>
      </c>
      <c r="B97" s="13" t="s">
        <v>0</v>
      </c>
      <c r="C97" s="13" t="s">
        <v>0</v>
      </c>
      <c r="D97" s="13" t="s">
        <v>0</v>
      </c>
      <c r="E97" s="174"/>
      <c r="F97" s="174"/>
      <c r="G97" s="175"/>
    </row>
    <row r="98" spans="1:7" ht="15">
      <c r="A98" s="12" t="s">
        <v>90</v>
      </c>
      <c r="B98" s="13" t="s">
        <v>91</v>
      </c>
      <c r="C98" s="13" t="s">
        <v>92</v>
      </c>
      <c r="D98" s="13" t="s">
        <v>93</v>
      </c>
      <c r="E98" s="174">
        <f>'Du toan chi tiet'!E38</f>
        <v>1</v>
      </c>
      <c r="F98" s="174"/>
      <c r="G98" s="175"/>
    </row>
    <row r="99" spans="1:7" ht="15">
      <c r="A99" s="12" t="s">
        <v>0</v>
      </c>
      <c r="B99" s="13" t="s">
        <v>0</v>
      </c>
      <c r="C99" s="13" t="s">
        <v>94</v>
      </c>
      <c r="D99" s="13" t="s">
        <v>77</v>
      </c>
      <c r="E99" s="174"/>
      <c r="F99" s="174">
        <f>1</f>
        <v>1</v>
      </c>
      <c r="G99" s="175">
        <f>E98*F99</f>
        <v>1</v>
      </c>
    </row>
    <row r="100" spans="1:7" ht="15">
      <c r="A100" s="12" t="s">
        <v>0</v>
      </c>
      <c r="B100" s="13" t="s">
        <v>0</v>
      </c>
      <c r="C100" s="13" t="s">
        <v>95</v>
      </c>
      <c r="D100" s="13" t="s">
        <v>77</v>
      </c>
      <c r="E100" s="174"/>
      <c r="F100" s="174">
        <f>1</f>
        <v>1</v>
      </c>
      <c r="G100" s="175">
        <f>E98*F100</f>
        <v>1</v>
      </c>
    </row>
    <row r="101" spans="1:7" ht="15">
      <c r="A101" s="12" t="s">
        <v>0</v>
      </c>
      <c r="B101" s="13" t="s">
        <v>0</v>
      </c>
      <c r="C101" s="13" t="s">
        <v>96</v>
      </c>
      <c r="D101" s="13" t="s">
        <v>77</v>
      </c>
      <c r="E101" s="174"/>
      <c r="F101" s="174">
        <f>1</f>
        <v>1</v>
      </c>
      <c r="G101" s="175">
        <f>E98*F101</f>
        <v>1</v>
      </c>
    </row>
    <row r="102" spans="1:7" ht="15">
      <c r="A102" s="12" t="s">
        <v>0</v>
      </c>
      <c r="B102" s="13" t="s">
        <v>0</v>
      </c>
      <c r="C102" s="13" t="s">
        <v>47</v>
      </c>
      <c r="D102" s="13" t="s">
        <v>8</v>
      </c>
      <c r="E102" s="174"/>
      <c r="F102" s="174">
        <f>1.53</f>
        <v>1.53</v>
      </c>
      <c r="G102" s="175">
        <f>E98*F102</f>
        <v>1.53</v>
      </c>
    </row>
    <row r="103" spans="1:7" ht="15">
      <c r="A103" s="12" t="s">
        <v>0</v>
      </c>
      <c r="B103" s="13" t="s">
        <v>0</v>
      </c>
      <c r="C103" s="13" t="s">
        <v>0</v>
      </c>
      <c r="D103" s="13" t="s">
        <v>0</v>
      </c>
      <c r="E103" s="174"/>
      <c r="F103" s="174"/>
      <c r="G103" s="175"/>
    </row>
    <row r="104" spans="1:7" ht="15">
      <c r="A104" s="12" t="s">
        <v>97</v>
      </c>
      <c r="B104" s="13" t="s">
        <v>98</v>
      </c>
      <c r="C104" s="13" t="s">
        <v>99</v>
      </c>
      <c r="D104" s="13" t="s">
        <v>88</v>
      </c>
      <c r="E104" s="174">
        <f>'Du toan chi tiet'!E40</f>
        <v>3</v>
      </c>
      <c r="F104" s="174"/>
      <c r="G104" s="175"/>
    </row>
    <row r="105" spans="1:7" ht="15">
      <c r="A105" s="12" t="s">
        <v>0</v>
      </c>
      <c r="B105" s="13" t="s">
        <v>0</v>
      </c>
      <c r="C105" s="13" t="s">
        <v>100</v>
      </c>
      <c r="D105" s="13" t="s">
        <v>19</v>
      </c>
      <c r="E105" s="174"/>
      <c r="F105" s="174">
        <f>67.9</f>
        <v>67.9</v>
      </c>
      <c r="G105" s="175">
        <f>E104*F105</f>
        <v>203.70000000000002</v>
      </c>
    </row>
    <row r="106" spans="1:7" ht="15">
      <c r="A106" s="12" t="s">
        <v>0</v>
      </c>
      <c r="B106" s="13" t="s">
        <v>0</v>
      </c>
      <c r="C106" s="13" t="s">
        <v>101</v>
      </c>
      <c r="D106" s="13" t="s">
        <v>79</v>
      </c>
      <c r="E106" s="174"/>
      <c r="F106" s="174">
        <f>2</f>
        <v>2</v>
      </c>
      <c r="G106" s="175">
        <f>E104*F106</f>
        <v>6</v>
      </c>
    </row>
    <row r="107" spans="1:7" ht="15">
      <c r="A107" s="12" t="s">
        <v>0</v>
      </c>
      <c r="B107" s="13" t="s">
        <v>0</v>
      </c>
      <c r="C107" s="13" t="s">
        <v>102</v>
      </c>
      <c r="D107" s="13" t="s">
        <v>103</v>
      </c>
      <c r="E107" s="174"/>
      <c r="F107" s="174">
        <f>2.5</f>
        <v>2.5</v>
      </c>
      <c r="G107" s="175">
        <f>E104*F107</f>
        <v>7.5</v>
      </c>
    </row>
    <row r="108" spans="1:7" ht="15">
      <c r="A108" s="12" t="s">
        <v>0</v>
      </c>
      <c r="B108" s="13" t="s">
        <v>0</v>
      </c>
      <c r="C108" s="13" t="s">
        <v>47</v>
      </c>
      <c r="D108" s="13" t="s">
        <v>8</v>
      </c>
      <c r="E108" s="174"/>
      <c r="F108" s="174">
        <f>0.33</f>
        <v>0.33</v>
      </c>
      <c r="G108" s="175">
        <f>E104*F108</f>
        <v>0.99</v>
      </c>
    </row>
    <row r="109" spans="1:7" ht="15">
      <c r="A109" s="12" t="s">
        <v>0</v>
      </c>
      <c r="B109" s="13" t="s">
        <v>0</v>
      </c>
      <c r="C109" s="13" t="s">
        <v>104</v>
      </c>
      <c r="D109" s="13" t="s">
        <v>10</v>
      </c>
      <c r="E109" s="174"/>
      <c r="F109" s="174">
        <f>0.3</f>
        <v>0.3</v>
      </c>
      <c r="G109" s="175">
        <f>E104*F109</f>
        <v>0.8999999999999999</v>
      </c>
    </row>
    <row r="110" spans="1:7" ht="15">
      <c r="A110" s="12" t="s">
        <v>0</v>
      </c>
      <c r="B110" s="13" t="s">
        <v>0</v>
      </c>
      <c r="C110" s="13" t="s">
        <v>105</v>
      </c>
      <c r="D110" s="13" t="s">
        <v>10</v>
      </c>
      <c r="E110" s="174"/>
      <c r="F110" s="174">
        <f>0.15</f>
        <v>0.15</v>
      </c>
      <c r="G110" s="175">
        <f>E104*F110</f>
        <v>0.44999999999999996</v>
      </c>
    </row>
    <row r="111" spans="1:7" ht="15">
      <c r="A111" s="12" t="s">
        <v>0</v>
      </c>
      <c r="B111" s="13" t="s">
        <v>0</v>
      </c>
      <c r="C111" s="13" t="s">
        <v>0</v>
      </c>
      <c r="D111" s="13" t="s">
        <v>0</v>
      </c>
      <c r="E111" s="174"/>
      <c r="F111" s="174"/>
      <c r="G111" s="175"/>
    </row>
    <row r="112" spans="1:7" ht="15">
      <c r="A112" s="12" t="s">
        <v>106</v>
      </c>
      <c r="B112" s="13" t="s">
        <v>107</v>
      </c>
      <c r="C112" s="13" t="s">
        <v>108</v>
      </c>
      <c r="D112" s="13" t="s">
        <v>88</v>
      </c>
      <c r="E112" s="174">
        <f>'Du toan chi tiet'!E42</f>
        <v>1</v>
      </c>
      <c r="F112" s="174"/>
      <c r="G112" s="175"/>
    </row>
    <row r="113" spans="1:7" ht="15">
      <c r="A113" s="12" t="s">
        <v>0</v>
      </c>
      <c r="B113" s="13" t="s">
        <v>0</v>
      </c>
      <c r="C113" s="13" t="s">
        <v>109</v>
      </c>
      <c r="D113" s="13" t="s">
        <v>77</v>
      </c>
      <c r="E113" s="174"/>
      <c r="F113" s="174">
        <f>1</f>
        <v>1</v>
      </c>
      <c r="G113" s="175">
        <f>E112*F113</f>
        <v>1</v>
      </c>
    </row>
    <row r="114" spans="1:7" ht="15">
      <c r="A114" s="12" t="s">
        <v>0</v>
      </c>
      <c r="B114" s="13" t="s">
        <v>0</v>
      </c>
      <c r="C114" s="13" t="s">
        <v>47</v>
      </c>
      <c r="D114" s="13" t="s">
        <v>8</v>
      </c>
      <c r="E114" s="174"/>
      <c r="F114" s="174">
        <f>0.31</f>
        <v>0.31</v>
      </c>
      <c r="G114" s="175">
        <f>E112*F114</f>
        <v>0.31</v>
      </c>
    </row>
    <row r="115" spans="1:7" ht="15">
      <c r="A115" s="12" t="s">
        <v>0</v>
      </c>
      <c r="B115" s="13" t="s">
        <v>0</v>
      </c>
      <c r="C115" s="13" t="s">
        <v>104</v>
      </c>
      <c r="D115" s="13" t="s">
        <v>10</v>
      </c>
      <c r="E115" s="174"/>
      <c r="F115" s="174">
        <f>0.1</f>
        <v>0.1</v>
      </c>
      <c r="G115" s="175">
        <f>E112*F115</f>
        <v>0.1</v>
      </c>
    </row>
    <row r="116" spans="1:7" ht="15">
      <c r="A116" s="12" t="s">
        <v>0</v>
      </c>
      <c r="B116" s="13" t="s">
        <v>0</v>
      </c>
      <c r="C116" s="13" t="s">
        <v>0</v>
      </c>
      <c r="D116" s="13" t="s">
        <v>0</v>
      </c>
      <c r="E116" s="174"/>
      <c r="F116" s="174"/>
      <c r="G116" s="175"/>
    </row>
    <row r="117" spans="1:7" ht="15">
      <c r="A117" s="12" t="s">
        <v>110</v>
      </c>
      <c r="B117" s="13" t="s">
        <v>111</v>
      </c>
      <c r="C117" s="13" t="s">
        <v>112</v>
      </c>
      <c r="D117" s="13" t="s">
        <v>113</v>
      </c>
      <c r="E117" s="174">
        <f>'Du toan chi tiet'!E44</f>
        <v>1265</v>
      </c>
      <c r="F117" s="174"/>
      <c r="G117" s="175"/>
    </row>
    <row r="118" spans="1:7" ht="15">
      <c r="A118" s="12" t="s">
        <v>0</v>
      </c>
      <c r="B118" s="13" t="s">
        <v>0</v>
      </c>
      <c r="C118" s="13" t="s">
        <v>114</v>
      </c>
      <c r="D118" s="13" t="s">
        <v>0</v>
      </c>
      <c r="E118" s="174"/>
      <c r="F118" s="174"/>
      <c r="G118" s="175"/>
    </row>
    <row r="119" spans="1:7" ht="15">
      <c r="A119" s="12" t="s">
        <v>0</v>
      </c>
      <c r="B119" s="13" t="s">
        <v>0</v>
      </c>
      <c r="C119" s="13" t="s">
        <v>115</v>
      </c>
      <c r="D119" s="13" t="s">
        <v>103</v>
      </c>
      <c r="E119" s="174"/>
      <c r="F119" s="174">
        <f>1</f>
        <v>1</v>
      </c>
      <c r="G119" s="175">
        <f>E117*F119</f>
        <v>1265</v>
      </c>
    </row>
    <row r="120" spans="1:7" ht="15">
      <c r="A120" s="12" t="s">
        <v>0</v>
      </c>
      <c r="B120" s="13" t="s">
        <v>0</v>
      </c>
      <c r="C120" s="13" t="s">
        <v>47</v>
      </c>
      <c r="D120" s="13" t="s">
        <v>8</v>
      </c>
      <c r="E120" s="174"/>
      <c r="F120" s="174">
        <f>0.0098</f>
        <v>0.0098</v>
      </c>
      <c r="G120" s="175">
        <f>E117*F120</f>
        <v>12.397</v>
      </c>
    </row>
    <row r="121" spans="1:7" ht="15">
      <c r="A121" s="12" t="s">
        <v>0</v>
      </c>
      <c r="B121" s="13" t="s">
        <v>0</v>
      </c>
      <c r="C121" s="13" t="s">
        <v>80</v>
      </c>
      <c r="D121" s="13" t="s">
        <v>10</v>
      </c>
      <c r="E121" s="174"/>
      <c r="F121" s="174">
        <f>0.0025</f>
        <v>0.0025</v>
      </c>
      <c r="G121" s="175">
        <f>E117*F121</f>
        <v>3.1625</v>
      </c>
    </row>
    <row r="122" spans="1:7" ht="15">
      <c r="A122" s="12" t="s">
        <v>0</v>
      </c>
      <c r="B122" s="13" t="s">
        <v>0</v>
      </c>
      <c r="C122" s="13" t="s">
        <v>0</v>
      </c>
      <c r="D122" s="13" t="s">
        <v>0</v>
      </c>
      <c r="E122" s="174"/>
      <c r="F122" s="174"/>
      <c r="G122" s="175"/>
    </row>
    <row r="123" spans="1:7" ht="15">
      <c r="A123" s="12" t="s">
        <v>116</v>
      </c>
      <c r="B123" s="13" t="s">
        <v>117</v>
      </c>
      <c r="C123" s="13" t="s">
        <v>118</v>
      </c>
      <c r="D123" s="13" t="s">
        <v>113</v>
      </c>
      <c r="E123" s="174">
        <f>'Du toan chi tiet'!E46</f>
        <v>242</v>
      </c>
      <c r="F123" s="174"/>
      <c r="G123" s="175"/>
    </row>
    <row r="124" spans="1:7" ht="15">
      <c r="A124" s="12" t="s">
        <v>0</v>
      </c>
      <c r="B124" s="13" t="s">
        <v>0</v>
      </c>
      <c r="C124" s="13" t="s">
        <v>119</v>
      </c>
      <c r="D124" s="13" t="s">
        <v>103</v>
      </c>
      <c r="E124" s="174"/>
      <c r="F124" s="174">
        <f>1</f>
        <v>1</v>
      </c>
      <c r="G124" s="175">
        <f>E123*F124</f>
        <v>242</v>
      </c>
    </row>
    <row r="125" spans="1:7" ht="15">
      <c r="A125" s="12" t="s">
        <v>0</v>
      </c>
      <c r="B125" s="13" t="s">
        <v>0</v>
      </c>
      <c r="C125" s="13" t="s">
        <v>47</v>
      </c>
      <c r="D125" s="13" t="s">
        <v>8</v>
      </c>
      <c r="E125" s="174"/>
      <c r="F125" s="174">
        <f>0.013</f>
        <v>0.013</v>
      </c>
      <c r="G125" s="175">
        <f>E123*F125</f>
        <v>3.146</v>
      </c>
    </row>
    <row r="126" spans="1:7" ht="15">
      <c r="A126" s="12" t="s">
        <v>0</v>
      </c>
      <c r="B126" s="13" t="s">
        <v>0</v>
      </c>
      <c r="C126" s="13" t="s">
        <v>0</v>
      </c>
      <c r="D126" s="13" t="s">
        <v>0</v>
      </c>
      <c r="E126" s="174"/>
      <c r="F126" s="174"/>
      <c r="G126" s="175"/>
    </row>
    <row r="127" spans="1:7" ht="15">
      <c r="A127" s="12" t="s">
        <v>120</v>
      </c>
      <c r="B127" s="13" t="s">
        <v>121</v>
      </c>
      <c r="C127" s="13" t="s">
        <v>122</v>
      </c>
      <c r="D127" s="13" t="s">
        <v>123</v>
      </c>
      <c r="E127" s="174">
        <f>'Du toan chi tiet'!E48</f>
        <v>1</v>
      </c>
      <c r="F127" s="174"/>
      <c r="G127" s="175"/>
    </row>
    <row r="128" spans="1:7" ht="15">
      <c r="A128" s="12" t="s">
        <v>0</v>
      </c>
      <c r="B128" s="13" t="s">
        <v>0</v>
      </c>
      <c r="C128" s="13" t="s">
        <v>124</v>
      </c>
      <c r="D128" s="13" t="s">
        <v>103</v>
      </c>
      <c r="E128" s="174"/>
      <c r="F128" s="174">
        <f>24</f>
        <v>24</v>
      </c>
      <c r="G128" s="175">
        <f>E127*F128</f>
        <v>24</v>
      </c>
    </row>
    <row r="129" spans="1:7" ht="15">
      <c r="A129" s="12" t="s">
        <v>0</v>
      </c>
      <c r="B129" s="13" t="s">
        <v>0</v>
      </c>
      <c r="C129" s="13" t="s">
        <v>125</v>
      </c>
      <c r="D129" s="13" t="s">
        <v>126</v>
      </c>
      <c r="E129" s="174"/>
      <c r="F129" s="174">
        <f>8</f>
        <v>8</v>
      </c>
      <c r="G129" s="175">
        <f>E127*F129</f>
        <v>8</v>
      </c>
    </row>
    <row r="130" spans="1:7" ht="15">
      <c r="A130" s="12" t="s">
        <v>0</v>
      </c>
      <c r="B130" s="13" t="s">
        <v>0</v>
      </c>
      <c r="C130" s="13" t="s">
        <v>127</v>
      </c>
      <c r="D130" s="13" t="s">
        <v>103</v>
      </c>
      <c r="E130" s="174"/>
      <c r="F130" s="174">
        <f>3</f>
        <v>3</v>
      </c>
      <c r="G130" s="175">
        <f>E127*F130</f>
        <v>3</v>
      </c>
    </row>
    <row r="131" spans="1:7" ht="15">
      <c r="A131" s="12" t="s">
        <v>0</v>
      </c>
      <c r="B131" s="13" t="s">
        <v>0</v>
      </c>
      <c r="C131" s="13" t="s">
        <v>0</v>
      </c>
      <c r="D131" s="13" t="s">
        <v>0</v>
      </c>
      <c r="E131" s="174"/>
      <c r="F131" s="174"/>
      <c r="G131" s="175"/>
    </row>
    <row r="132" spans="1:7" ht="15">
      <c r="A132" s="12" t="s">
        <v>128</v>
      </c>
      <c r="B132" s="13" t="s">
        <v>129</v>
      </c>
      <c r="C132" s="13" t="s">
        <v>130</v>
      </c>
      <c r="D132" s="13" t="s">
        <v>77</v>
      </c>
      <c r="E132" s="174">
        <f>'Du toan chi tiet'!E50</f>
        <v>1</v>
      </c>
      <c r="F132" s="174"/>
      <c r="G132" s="175"/>
    </row>
    <row r="133" spans="1:7" ht="15">
      <c r="A133" s="12" t="s">
        <v>0</v>
      </c>
      <c r="B133" s="13" t="s">
        <v>0</v>
      </c>
      <c r="C133" s="13" t="s">
        <v>131</v>
      </c>
      <c r="D133" s="13" t="s">
        <v>126</v>
      </c>
      <c r="E133" s="174"/>
      <c r="F133" s="174">
        <f>1</f>
        <v>1</v>
      </c>
      <c r="G133" s="175">
        <f>E132*F133</f>
        <v>1</v>
      </c>
    </row>
    <row r="134" spans="1:7" ht="15">
      <c r="A134" s="12" t="s">
        <v>0</v>
      </c>
      <c r="B134" s="13" t="s">
        <v>0</v>
      </c>
      <c r="C134" s="13" t="s">
        <v>132</v>
      </c>
      <c r="D134" s="13" t="s">
        <v>126</v>
      </c>
      <c r="E134" s="174"/>
      <c r="F134" s="174">
        <f>1</f>
        <v>1</v>
      </c>
      <c r="G134" s="175">
        <f>E132*F134</f>
        <v>1</v>
      </c>
    </row>
    <row r="135" spans="1:7" ht="15">
      <c r="A135" s="12" t="s">
        <v>0</v>
      </c>
      <c r="B135" s="13" t="s">
        <v>0</v>
      </c>
      <c r="C135" s="13" t="s">
        <v>133</v>
      </c>
      <c r="D135" s="13" t="s">
        <v>123</v>
      </c>
      <c r="E135" s="174"/>
      <c r="F135" s="174">
        <f>2</f>
        <v>2</v>
      </c>
      <c r="G135" s="175">
        <f>E132*F135</f>
        <v>2</v>
      </c>
    </row>
    <row r="136" spans="1:7" ht="15">
      <c r="A136" s="12" t="s">
        <v>0</v>
      </c>
      <c r="B136" s="13" t="s">
        <v>0</v>
      </c>
      <c r="C136" s="13" t="s">
        <v>134</v>
      </c>
      <c r="D136" s="13" t="s">
        <v>103</v>
      </c>
      <c r="E136" s="174"/>
      <c r="F136" s="174">
        <f>3.6</f>
        <v>3.6</v>
      </c>
      <c r="G136" s="175">
        <f>E132*F136</f>
        <v>3.6</v>
      </c>
    </row>
    <row r="137" spans="1:7" ht="15">
      <c r="A137" s="12" t="s">
        <v>0</v>
      </c>
      <c r="B137" s="13" t="s">
        <v>0</v>
      </c>
      <c r="C137" s="13" t="s">
        <v>135</v>
      </c>
      <c r="D137" s="13" t="s">
        <v>136</v>
      </c>
      <c r="E137" s="174"/>
      <c r="F137" s="174">
        <f>1</f>
        <v>1</v>
      </c>
      <c r="G137" s="175">
        <f>E132*F137</f>
        <v>1</v>
      </c>
    </row>
    <row r="138" spans="1:7" ht="15">
      <c r="A138" s="12" t="s">
        <v>0</v>
      </c>
      <c r="B138" s="13" t="s">
        <v>0</v>
      </c>
      <c r="C138" s="13" t="s">
        <v>137</v>
      </c>
      <c r="D138" s="13" t="s">
        <v>126</v>
      </c>
      <c r="E138" s="174"/>
      <c r="F138" s="174">
        <f>4</f>
        <v>4</v>
      </c>
      <c r="G138" s="175">
        <f>E132*F138</f>
        <v>4</v>
      </c>
    </row>
    <row r="139" spans="1:7" ht="15">
      <c r="A139" s="12" t="s">
        <v>0</v>
      </c>
      <c r="B139" s="13" t="s">
        <v>0</v>
      </c>
      <c r="C139" s="13" t="s">
        <v>0</v>
      </c>
      <c r="D139" s="13" t="s">
        <v>0</v>
      </c>
      <c r="E139" s="174"/>
      <c r="F139" s="174"/>
      <c r="G139" s="175"/>
    </row>
    <row r="140" spans="1:7" ht="15">
      <c r="A140" s="12" t="s">
        <v>138</v>
      </c>
      <c r="B140" s="13" t="s">
        <v>139</v>
      </c>
      <c r="C140" s="13" t="s">
        <v>140</v>
      </c>
      <c r="D140" s="13" t="s">
        <v>77</v>
      </c>
      <c r="E140" s="174">
        <f>'Du toan chi tiet'!E52</f>
        <v>5</v>
      </c>
      <c r="F140" s="174"/>
      <c r="G140" s="175"/>
    </row>
    <row r="141" spans="1:7" ht="15">
      <c r="A141" s="12" t="s">
        <v>0</v>
      </c>
      <c r="B141" s="13" t="s">
        <v>0</v>
      </c>
      <c r="C141" s="13" t="s">
        <v>141</v>
      </c>
      <c r="D141" s="13" t="s">
        <v>126</v>
      </c>
      <c r="E141" s="174"/>
      <c r="F141" s="174">
        <f>1</f>
        <v>1</v>
      </c>
      <c r="G141" s="175">
        <f>E140*F141</f>
        <v>5</v>
      </c>
    </row>
    <row r="142" spans="1:7" ht="15">
      <c r="A142" s="12" t="s">
        <v>0</v>
      </c>
      <c r="B142" s="13" t="s">
        <v>0</v>
      </c>
      <c r="C142" s="13" t="s">
        <v>142</v>
      </c>
      <c r="D142" s="13" t="s">
        <v>126</v>
      </c>
      <c r="E142" s="174"/>
      <c r="F142" s="174">
        <f>1</f>
        <v>1</v>
      </c>
      <c r="G142" s="175">
        <f>E140*F142</f>
        <v>5</v>
      </c>
    </row>
    <row r="143" spans="1:7" ht="15">
      <c r="A143" s="12" t="s">
        <v>0</v>
      </c>
      <c r="B143" s="13" t="s">
        <v>0</v>
      </c>
      <c r="C143" s="13" t="s">
        <v>0</v>
      </c>
      <c r="D143" s="13" t="s">
        <v>0</v>
      </c>
      <c r="E143" s="174"/>
      <c r="F143" s="174"/>
      <c r="G143" s="175"/>
    </row>
    <row r="144" spans="1:7" ht="15">
      <c r="A144" s="12" t="s">
        <v>143</v>
      </c>
      <c r="B144" s="13" t="s">
        <v>144</v>
      </c>
      <c r="C144" s="13" t="s">
        <v>145</v>
      </c>
      <c r="D144" s="13" t="s">
        <v>77</v>
      </c>
      <c r="E144" s="174">
        <f>'Du toan chi tiet'!E54</f>
        <v>5</v>
      </c>
      <c r="F144" s="174"/>
      <c r="G144" s="175"/>
    </row>
    <row r="145" spans="1:7" ht="15">
      <c r="A145" s="12" t="s">
        <v>0</v>
      </c>
      <c r="B145" s="13" t="s">
        <v>0</v>
      </c>
      <c r="C145" s="13" t="s">
        <v>141</v>
      </c>
      <c r="D145" s="13" t="s">
        <v>126</v>
      </c>
      <c r="E145" s="174"/>
      <c r="F145" s="174">
        <f>1</f>
        <v>1</v>
      </c>
      <c r="G145" s="175">
        <f>E144*F145</f>
        <v>5</v>
      </c>
    </row>
    <row r="146" spans="1:7" ht="15">
      <c r="A146" s="12" t="s">
        <v>0</v>
      </c>
      <c r="B146" s="13" t="s">
        <v>0</v>
      </c>
      <c r="C146" s="13" t="s">
        <v>132</v>
      </c>
      <c r="D146" s="13" t="s">
        <v>126</v>
      </c>
      <c r="E146" s="174"/>
      <c r="F146" s="174">
        <f>1</f>
        <v>1</v>
      </c>
      <c r="G146" s="175">
        <f>E144*F146</f>
        <v>5</v>
      </c>
    </row>
    <row r="147" spans="1:7" ht="15">
      <c r="A147" s="12" t="s">
        <v>0</v>
      </c>
      <c r="B147" s="13" t="s">
        <v>0</v>
      </c>
      <c r="C147" s="13" t="s">
        <v>146</v>
      </c>
      <c r="D147" s="13" t="s">
        <v>126</v>
      </c>
      <c r="E147" s="174"/>
      <c r="F147" s="174">
        <f>4</f>
        <v>4</v>
      </c>
      <c r="G147" s="175">
        <f>E144*F147</f>
        <v>20</v>
      </c>
    </row>
    <row r="148" spans="1:7" ht="15">
      <c r="A148" s="12" t="s">
        <v>0</v>
      </c>
      <c r="B148" s="13" t="s">
        <v>0</v>
      </c>
      <c r="C148" s="13" t="s">
        <v>0</v>
      </c>
      <c r="D148" s="13" t="s">
        <v>0</v>
      </c>
      <c r="E148" s="174"/>
      <c r="F148" s="174"/>
      <c r="G148" s="175"/>
    </row>
    <row r="149" spans="1:7" ht="15">
      <c r="A149" s="12" t="s">
        <v>147</v>
      </c>
      <c r="B149" s="13" t="s">
        <v>148</v>
      </c>
      <c r="C149" s="13" t="s">
        <v>149</v>
      </c>
      <c r="D149" s="13" t="s">
        <v>77</v>
      </c>
      <c r="E149" s="174">
        <f>'Du toan chi tiet'!E56</f>
        <v>22</v>
      </c>
      <c r="F149" s="174"/>
      <c r="G149" s="175"/>
    </row>
    <row r="150" spans="1:7" ht="15">
      <c r="A150" s="12" t="s">
        <v>0</v>
      </c>
      <c r="B150" s="13" t="s">
        <v>0</v>
      </c>
      <c r="C150" s="13" t="s">
        <v>141</v>
      </c>
      <c r="D150" s="13" t="s">
        <v>126</v>
      </c>
      <c r="E150" s="174"/>
      <c r="F150" s="174">
        <f>1</f>
        <v>1</v>
      </c>
      <c r="G150" s="175">
        <f>E149*F150</f>
        <v>22</v>
      </c>
    </row>
    <row r="151" spans="1:7" ht="15">
      <c r="A151" s="12" t="s">
        <v>0</v>
      </c>
      <c r="B151" s="13" t="s">
        <v>0</v>
      </c>
      <c r="C151" s="13" t="s">
        <v>142</v>
      </c>
      <c r="D151" s="13" t="s">
        <v>126</v>
      </c>
      <c r="E151" s="174"/>
      <c r="F151" s="174">
        <f>1</f>
        <v>1</v>
      </c>
      <c r="G151" s="175">
        <f>E149*F151</f>
        <v>22</v>
      </c>
    </row>
    <row r="152" spans="1:7" ht="15">
      <c r="A152" s="12" t="s">
        <v>0</v>
      </c>
      <c r="B152" s="13" t="s">
        <v>0</v>
      </c>
      <c r="C152" s="13" t="s">
        <v>0</v>
      </c>
      <c r="D152" s="13" t="s">
        <v>0</v>
      </c>
      <c r="E152" s="174"/>
      <c r="F152" s="174"/>
      <c r="G152" s="175"/>
    </row>
    <row r="153" spans="1:7" ht="15">
      <c r="A153" s="12" t="s">
        <v>150</v>
      </c>
      <c r="B153" s="13" t="s">
        <v>151</v>
      </c>
      <c r="C153" s="13" t="s">
        <v>152</v>
      </c>
      <c r="D153" s="13" t="s">
        <v>77</v>
      </c>
      <c r="E153" s="174">
        <f>'Du toan chi tiet'!E58</f>
        <v>1</v>
      </c>
      <c r="F153" s="174"/>
      <c r="G153" s="175"/>
    </row>
    <row r="154" spans="1:7" ht="15">
      <c r="A154" s="12" t="s">
        <v>0</v>
      </c>
      <c r="B154" s="13" t="s">
        <v>0</v>
      </c>
      <c r="C154" s="13" t="s">
        <v>131</v>
      </c>
      <c r="D154" s="13" t="s">
        <v>126</v>
      </c>
      <c r="E154" s="174"/>
      <c r="F154" s="174">
        <f>2</f>
        <v>2</v>
      </c>
      <c r="G154" s="175">
        <f>E153*F154</f>
        <v>2</v>
      </c>
    </row>
    <row r="155" spans="1:7" ht="15">
      <c r="A155" s="12" t="s">
        <v>0</v>
      </c>
      <c r="B155" s="13" t="s">
        <v>0</v>
      </c>
      <c r="C155" s="13" t="s">
        <v>132</v>
      </c>
      <c r="D155" s="13" t="s">
        <v>126</v>
      </c>
      <c r="E155" s="174"/>
      <c r="F155" s="174">
        <f>2</f>
        <v>2</v>
      </c>
      <c r="G155" s="175">
        <f>E153*F155</f>
        <v>2</v>
      </c>
    </row>
    <row r="156" spans="1:7" ht="15">
      <c r="A156" s="12" t="s">
        <v>0</v>
      </c>
      <c r="B156" s="13" t="s">
        <v>0</v>
      </c>
      <c r="C156" s="13" t="s">
        <v>134</v>
      </c>
      <c r="D156" s="13" t="s">
        <v>103</v>
      </c>
      <c r="E156" s="174"/>
      <c r="F156" s="174">
        <f>1.8</f>
        <v>1.8</v>
      </c>
      <c r="G156" s="175">
        <f>E153*F156</f>
        <v>1.8</v>
      </c>
    </row>
    <row r="157" spans="1:7" ht="15">
      <c r="A157" s="12" t="s">
        <v>0</v>
      </c>
      <c r="B157" s="13" t="s">
        <v>0</v>
      </c>
      <c r="C157" s="13" t="s">
        <v>0</v>
      </c>
      <c r="D157" s="13" t="s">
        <v>0</v>
      </c>
      <c r="E157" s="174"/>
      <c r="F157" s="174"/>
      <c r="G157" s="175"/>
    </row>
    <row r="158" spans="1:7" ht="15">
      <c r="A158" s="12" t="s">
        <v>153</v>
      </c>
      <c r="B158" s="13" t="s">
        <v>154</v>
      </c>
      <c r="C158" s="13" t="s">
        <v>155</v>
      </c>
      <c r="D158" s="13" t="s">
        <v>77</v>
      </c>
      <c r="E158" s="174">
        <f>'Du toan chi tiet'!E60</f>
        <v>2</v>
      </c>
      <c r="F158" s="174"/>
      <c r="G158" s="175"/>
    </row>
    <row r="159" spans="1:7" ht="15">
      <c r="A159" s="12" t="s">
        <v>0</v>
      </c>
      <c r="B159" s="13" t="s">
        <v>0</v>
      </c>
      <c r="C159" s="13" t="s">
        <v>141</v>
      </c>
      <c r="D159" s="13" t="s">
        <v>126</v>
      </c>
      <c r="E159" s="174"/>
      <c r="F159" s="174">
        <f>1</f>
        <v>1</v>
      </c>
      <c r="G159" s="175">
        <f>E158*F159</f>
        <v>2</v>
      </c>
    </row>
    <row r="160" spans="1:7" ht="15">
      <c r="A160" s="12" t="s">
        <v>0</v>
      </c>
      <c r="B160" s="13" t="s">
        <v>0</v>
      </c>
      <c r="C160" s="13" t="s">
        <v>132</v>
      </c>
      <c r="D160" s="13" t="s">
        <v>126</v>
      </c>
      <c r="E160" s="174"/>
      <c r="F160" s="174">
        <f>1</f>
        <v>1</v>
      </c>
      <c r="G160" s="175">
        <f>E158*F160</f>
        <v>2</v>
      </c>
    </row>
    <row r="161" spans="1:7" ht="15">
      <c r="A161" s="12" t="s">
        <v>0</v>
      </c>
      <c r="B161" s="13" t="s">
        <v>0</v>
      </c>
      <c r="C161" s="13" t="s">
        <v>146</v>
      </c>
      <c r="D161" s="13" t="s">
        <v>126</v>
      </c>
      <c r="E161" s="174"/>
      <c r="F161" s="174">
        <f>4</f>
        <v>4</v>
      </c>
      <c r="G161" s="175">
        <f>E158*F161</f>
        <v>8</v>
      </c>
    </row>
    <row r="162" spans="1:7" ht="15">
      <c r="A162" s="12" t="s">
        <v>0</v>
      </c>
      <c r="B162" s="13" t="s">
        <v>0</v>
      </c>
      <c r="C162" s="13" t="s">
        <v>0</v>
      </c>
      <c r="D162" s="13" t="s">
        <v>0</v>
      </c>
      <c r="E162" s="174"/>
      <c r="F162" s="174"/>
      <c r="G162" s="175"/>
    </row>
    <row r="163" spans="1:7" ht="15">
      <c r="A163" s="12" t="s">
        <v>156</v>
      </c>
      <c r="B163" s="13" t="s">
        <v>157</v>
      </c>
      <c r="C163" s="13" t="s">
        <v>158</v>
      </c>
      <c r="D163" s="13" t="s">
        <v>77</v>
      </c>
      <c r="E163" s="174">
        <f>'Du toan chi tiet'!E62</f>
        <v>3</v>
      </c>
      <c r="F163" s="174"/>
      <c r="G163" s="175"/>
    </row>
    <row r="164" spans="1:7" ht="15">
      <c r="A164" s="12" t="s">
        <v>0</v>
      </c>
      <c r="B164" s="13" t="s">
        <v>0</v>
      </c>
      <c r="C164" s="13" t="s">
        <v>131</v>
      </c>
      <c r="D164" s="13" t="s">
        <v>126</v>
      </c>
      <c r="E164" s="174"/>
      <c r="F164" s="174">
        <f>1</f>
        <v>1</v>
      </c>
      <c r="G164" s="175">
        <f>E163*F164</f>
        <v>3</v>
      </c>
    </row>
    <row r="165" spans="1:7" ht="15">
      <c r="A165" s="12" t="s">
        <v>0</v>
      </c>
      <c r="B165" s="13" t="s">
        <v>0</v>
      </c>
      <c r="C165" s="13" t="s">
        <v>142</v>
      </c>
      <c r="D165" s="13" t="s">
        <v>126</v>
      </c>
      <c r="E165" s="174"/>
      <c r="F165" s="174">
        <f>1</f>
        <v>1</v>
      </c>
      <c r="G165" s="175">
        <f>E163*F165</f>
        <v>3</v>
      </c>
    </row>
    <row r="166" spans="1:7" ht="15">
      <c r="A166" s="12" t="s">
        <v>0</v>
      </c>
      <c r="B166" s="13" t="s">
        <v>0</v>
      </c>
      <c r="C166" s="13" t="s">
        <v>133</v>
      </c>
      <c r="D166" s="13" t="s">
        <v>123</v>
      </c>
      <c r="E166" s="174"/>
      <c r="F166" s="174">
        <f>2</f>
        <v>2</v>
      </c>
      <c r="G166" s="175">
        <f>E163*F166</f>
        <v>6</v>
      </c>
    </row>
    <row r="167" spans="1:7" ht="15">
      <c r="A167" s="12" t="s">
        <v>0</v>
      </c>
      <c r="B167" s="13" t="s">
        <v>0</v>
      </c>
      <c r="C167" s="13" t="s">
        <v>134</v>
      </c>
      <c r="D167" s="13" t="s">
        <v>103</v>
      </c>
      <c r="E167" s="174"/>
      <c r="F167" s="174">
        <f>1.4</f>
        <v>1.4</v>
      </c>
      <c r="G167" s="175">
        <f>E163*F167</f>
        <v>4.199999999999999</v>
      </c>
    </row>
    <row r="168" spans="1:7" ht="15">
      <c r="A168" s="12" t="s">
        <v>0</v>
      </c>
      <c r="B168" s="13" t="s">
        <v>0</v>
      </c>
      <c r="C168" s="13" t="s">
        <v>0</v>
      </c>
      <c r="D168" s="13" t="s">
        <v>0</v>
      </c>
      <c r="E168" s="174"/>
      <c r="F168" s="174"/>
      <c r="G168" s="175"/>
    </row>
    <row r="169" spans="1:7" ht="15">
      <c r="A169" s="12" t="s">
        <v>159</v>
      </c>
      <c r="B169" s="13" t="s">
        <v>160</v>
      </c>
      <c r="C169" s="13" t="s">
        <v>161</v>
      </c>
      <c r="D169" s="13" t="s">
        <v>77</v>
      </c>
      <c r="E169" s="174">
        <f>'Du toan chi tiet'!E64</f>
        <v>1</v>
      </c>
      <c r="F169" s="174"/>
      <c r="G169" s="175"/>
    </row>
    <row r="170" spans="1:7" ht="15">
      <c r="A170" s="12" t="s">
        <v>0</v>
      </c>
      <c r="B170" s="13" t="s">
        <v>0</v>
      </c>
      <c r="C170" s="13" t="s">
        <v>131</v>
      </c>
      <c r="D170" s="13" t="s">
        <v>126</v>
      </c>
      <c r="E170" s="174"/>
      <c r="F170" s="174">
        <f>2</f>
        <v>2</v>
      </c>
      <c r="G170" s="175">
        <f>E169*F170</f>
        <v>2</v>
      </c>
    </row>
    <row r="171" spans="1:7" ht="15">
      <c r="A171" s="12" t="s">
        <v>0</v>
      </c>
      <c r="B171" s="13" t="s">
        <v>0</v>
      </c>
      <c r="C171" s="13" t="s">
        <v>132</v>
      </c>
      <c r="D171" s="13" t="s">
        <v>126</v>
      </c>
      <c r="E171" s="174"/>
      <c r="F171" s="174">
        <f>2</f>
        <v>2</v>
      </c>
      <c r="G171" s="175">
        <f>E169*F171</f>
        <v>2</v>
      </c>
    </row>
    <row r="172" spans="1:7" ht="15">
      <c r="A172" s="12" t="s">
        <v>0</v>
      </c>
      <c r="B172" s="13" t="s">
        <v>0</v>
      </c>
      <c r="C172" s="13" t="s">
        <v>134</v>
      </c>
      <c r="D172" s="13" t="s">
        <v>103</v>
      </c>
      <c r="E172" s="174"/>
      <c r="F172" s="174">
        <f>4.2</f>
        <v>4.2</v>
      </c>
      <c r="G172" s="175">
        <f>E169*F172</f>
        <v>4.2</v>
      </c>
    </row>
    <row r="173" spans="1:7" ht="15">
      <c r="A173" s="12" t="s">
        <v>0</v>
      </c>
      <c r="B173" s="13" t="s">
        <v>0</v>
      </c>
      <c r="C173" s="13" t="s">
        <v>133</v>
      </c>
      <c r="D173" s="13" t="s">
        <v>123</v>
      </c>
      <c r="E173" s="174"/>
      <c r="F173" s="174">
        <f>3</f>
        <v>3</v>
      </c>
      <c r="G173" s="175">
        <f>E169*F173</f>
        <v>3</v>
      </c>
    </row>
    <row r="174" spans="1:7" ht="15">
      <c r="A174" s="12" t="s">
        <v>0</v>
      </c>
      <c r="B174" s="13" t="s">
        <v>0</v>
      </c>
      <c r="C174" s="13" t="s">
        <v>0</v>
      </c>
      <c r="D174" s="13" t="s">
        <v>0</v>
      </c>
      <c r="E174" s="174"/>
      <c r="F174" s="174"/>
      <c r="G174" s="175"/>
    </row>
    <row r="175" spans="1:7" ht="15">
      <c r="A175" s="12" t="s">
        <v>162</v>
      </c>
      <c r="B175" s="13" t="s">
        <v>163</v>
      </c>
      <c r="C175" s="13" t="s">
        <v>164</v>
      </c>
      <c r="D175" s="13" t="s">
        <v>79</v>
      </c>
      <c r="E175" s="174">
        <f>'Du toan chi tiet'!E66</f>
        <v>80</v>
      </c>
      <c r="F175" s="174"/>
      <c r="G175" s="175"/>
    </row>
    <row r="176" spans="1:7" ht="15">
      <c r="A176" s="12" t="s">
        <v>0</v>
      </c>
      <c r="B176" s="13" t="s">
        <v>0</v>
      </c>
      <c r="C176" s="13" t="s">
        <v>165</v>
      </c>
      <c r="D176" s="13" t="s">
        <v>126</v>
      </c>
      <c r="E176" s="174"/>
      <c r="F176" s="174">
        <f>1</f>
        <v>1</v>
      </c>
      <c r="G176" s="175">
        <f>E175*F176</f>
        <v>80</v>
      </c>
    </row>
    <row r="177" spans="1:7" ht="15">
      <c r="A177" s="12" t="s">
        <v>0</v>
      </c>
      <c r="B177" s="13" t="s">
        <v>0</v>
      </c>
      <c r="C177" s="13" t="s">
        <v>0</v>
      </c>
      <c r="D177" s="13" t="s">
        <v>0</v>
      </c>
      <c r="E177" s="174"/>
      <c r="F177" s="174"/>
      <c r="G177" s="175"/>
    </row>
    <row r="178" spans="1:7" ht="15">
      <c r="A178" s="12" t="s">
        <v>166</v>
      </c>
      <c r="B178" s="13" t="s">
        <v>167</v>
      </c>
      <c r="C178" s="13" t="s">
        <v>168</v>
      </c>
      <c r="D178" s="13" t="s">
        <v>58</v>
      </c>
      <c r="E178" s="174">
        <f>'Du toan chi tiet'!E68</f>
        <v>32</v>
      </c>
      <c r="F178" s="174"/>
      <c r="G178" s="175"/>
    </row>
    <row r="179" spans="1:7" ht="15">
      <c r="A179" s="12" t="s">
        <v>0</v>
      </c>
      <c r="B179" s="13" t="s">
        <v>0</v>
      </c>
      <c r="C179" s="13" t="s">
        <v>169</v>
      </c>
      <c r="D179" s="13" t="s">
        <v>58</v>
      </c>
      <c r="E179" s="174"/>
      <c r="F179" s="174">
        <f>1</f>
        <v>1</v>
      </c>
      <c r="G179" s="175">
        <f>E178*F179</f>
        <v>32</v>
      </c>
    </row>
    <row r="180" spans="1:7" ht="15">
      <c r="A180" s="12" t="s">
        <v>0</v>
      </c>
      <c r="B180" s="13" t="s">
        <v>0</v>
      </c>
      <c r="C180" s="13" t="s">
        <v>0</v>
      </c>
      <c r="D180" s="13" t="s">
        <v>0</v>
      </c>
      <c r="E180" s="174"/>
      <c r="F180" s="174"/>
      <c r="G180" s="175"/>
    </row>
    <row r="181" spans="1:7" ht="15">
      <c r="A181" s="12" t="s">
        <v>0</v>
      </c>
      <c r="B181" s="13" t="s">
        <v>0</v>
      </c>
      <c r="C181" s="13" t="s">
        <v>0</v>
      </c>
      <c r="D181" s="13" t="s">
        <v>0</v>
      </c>
      <c r="E181" s="174"/>
      <c r="F181" s="174"/>
      <c r="G181" s="175"/>
    </row>
    <row r="182" spans="1:7" ht="15.75">
      <c r="A182" s="8" t="s">
        <v>0</v>
      </c>
      <c r="B182" s="9" t="s">
        <v>0</v>
      </c>
      <c r="C182" s="9" t="s">
        <v>170</v>
      </c>
      <c r="D182" s="9" t="s">
        <v>0</v>
      </c>
      <c r="E182" s="172"/>
      <c r="F182" s="172"/>
      <c r="G182" s="173"/>
    </row>
    <row r="183" spans="1:7" ht="15">
      <c r="A183" s="12" t="s">
        <v>0</v>
      </c>
      <c r="B183" s="13" t="s">
        <v>0</v>
      </c>
      <c r="C183" s="13" t="s">
        <v>0</v>
      </c>
      <c r="D183" s="13" t="s">
        <v>0</v>
      </c>
      <c r="E183" s="174"/>
      <c r="F183" s="174"/>
      <c r="G183" s="175"/>
    </row>
    <row r="184" spans="1:7" ht="15">
      <c r="A184" s="12" t="s">
        <v>171</v>
      </c>
      <c r="B184" s="13" t="s">
        <v>172</v>
      </c>
      <c r="C184" s="13" t="s">
        <v>173</v>
      </c>
      <c r="D184" s="13" t="s">
        <v>174</v>
      </c>
      <c r="E184" s="174" t="e">
        <f>'Du toan chi tiet'!#REF!</f>
        <v>#REF!</v>
      </c>
      <c r="F184" s="174"/>
      <c r="G184" s="175"/>
    </row>
    <row r="185" spans="1:7" ht="15">
      <c r="A185" s="12" t="s">
        <v>0</v>
      </c>
      <c r="B185" s="13" t="s">
        <v>0</v>
      </c>
      <c r="C185" s="13" t="s">
        <v>175</v>
      </c>
      <c r="D185" s="13" t="s">
        <v>0</v>
      </c>
      <c r="E185" s="174"/>
      <c r="F185" s="174"/>
      <c r="G185" s="175"/>
    </row>
    <row r="186" spans="1:7" ht="15">
      <c r="A186" s="12" t="s">
        <v>0</v>
      </c>
      <c r="B186" s="13" t="s">
        <v>0</v>
      </c>
      <c r="C186" s="13" t="s">
        <v>176</v>
      </c>
      <c r="D186" s="13" t="s">
        <v>10</v>
      </c>
      <c r="E186" s="174"/>
      <c r="F186" s="174">
        <f>0.027</f>
        <v>0.027</v>
      </c>
      <c r="G186" s="175" t="e">
        <f>E184*F186</f>
        <v>#REF!</v>
      </c>
    </row>
    <row r="187" spans="1:7" ht="15">
      <c r="A187" s="12" t="s">
        <v>0</v>
      </c>
      <c r="B187" s="13" t="s">
        <v>0</v>
      </c>
      <c r="C187" s="13" t="s">
        <v>0</v>
      </c>
      <c r="D187" s="13" t="s">
        <v>0</v>
      </c>
      <c r="E187" s="174"/>
      <c r="F187" s="174"/>
      <c r="G187" s="175"/>
    </row>
    <row r="188" spans="1:7" ht="15">
      <c r="A188" s="12" t="s">
        <v>177</v>
      </c>
      <c r="B188" s="13" t="s">
        <v>178</v>
      </c>
      <c r="C188" s="13" t="s">
        <v>173</v>
      </c>
      <c r="D188" s="13" t="s">
        <v>174</v>
      </c>
      <c r="E188" s="174" t="e">
        <f>'Du toan chi tiet'!#REF!</f>
        <v>#REF!</v>
      </c>
      <c r="F188" s="174"/>
      <c r="G188" s="175"/>
    </row>
    <row r="189" spans="1:7" ht="15">
      <c r="A189" s="12" t="s">
        <v>0</v>
      </c>
      <c r="B189" s="13" t="s">
        <v>0</v>
      </c>
      <c r="C189" s="13" t="s">
        <v>179</v>
      </c>
      <c r="D189" s="13" t="s">
        <v>0</v>
      </c>
      <c r="E189" s="174"/>
      <c r="F189" s="174"/>
      <c r="G189" s="175"/>
    </row>
    <row r="190" spans="1:7" ht="15">
      <c r="A190" s="12" t="s">
        <v>0</v>
      </c>
      <c r="B190" s="13" t="s">
        <v>0</v>
      </c>
      <c r="C190" s="13" t="s">
        <v>176</v>
      </c>
      <c r="D190" s="13" t="s">
        <v>10</v>
      </c>
      <c r="E190" s="174"/>
      <c r="F190" s="174">
        <f>0.019</f>
        <v>0.019</v>
      </c>
      <c r="G190" s="175" t="e">
        <f>E188*F190</f>
        <v>#REF!</v>
      </c>
    </row>
    <row r="191" spans="1:7" ht="15">
      <c r="A191" s="12" t="s">
        <v>0</v>
      </c>
      <c r="B191" s="13" t="s">
        <v>0</v>
      </c>
      <c r="C191" s="13" t="s">
        <v>0</v>
      </c>
      <c r="D191" s="13" t="s">
        <v>0</v>
      </c>
      <c r="E191" s="174"/>
      <c r="F191" s="174"/>
      <c r="G191" s="175"/>
    </row>
    <row r="192" spans="1:7" ht="15">
      <c r="A192" s="12" t="s">
        <v>180</v>
      </c>
      <c r="B192" s="13" t="s">
        <v>181</v>
      </c>
      <c r="C192" s="13" t="s">
        <v>173</v>
      </c>
      <c r="D192" s="13" t="s">
        <v>174</v>
      </c>
      <c r="E192" s="174" t="e">
        <f>'Du toan chi tiet'!#REF!</f>
        <v>#REF!</v>
      </c>
      <c r="F192" s="174"/>
      <c r="G192" s="175"/>
    </row>
    <row r="193" spans="1:7" ht="15">
      <c r="A193" s="12" t="s">
        <v>0</v>
      </c>
      <c r="B193" s="13" t="s">
        <v>0</v>
      </c>
      <c r="C193" s="13" t="s">
        <v>182</v>
      </c>
      <c r="D193" s="13" t="s">
        <v>0</v>
      </c>
      <c r="E193" s="174"/>
      <c r="F193" s="174"/>
      <c r="G193" s="175"/>
    </row>
    <row r="194" spans="1:7" ht="15">
      <c r="A194" s="12" t="s">
        <v>0</v>
      </c>
      <c r="B194" s="13" t="s">
        <v>0</v>
      </c>
      <c r="C194" s="13" t="s">
        <v>176</v>
      </c>
      <c r="D194" s="13" t="s">
        <v>10</v>
      </c>
      <c r="E194" s="174"/>
      <c r="F194" s="174">
        <f>0.014</f>
        <v>0.014</v>
      </c>
      <c r="G194" s="175" t="e">
        <f>E192*F194</f>
        <v>#REF!</v>
      </c>
    </row>
    <row r="195" spans="1:7" ht="15">
      <c r="A195" s="12" t="s">
        <v>0</v>
      </c>
      <c r="B195" s="13" t="s">
        <v>0</v>
      </c>
      <c r="C195" s="13" t="s">
        <v>0</v>
      </c>
      <c r="D195" s="13" t="s">
        <v>0</v>
      </c>
      <c r="E195" s="174"/>
      <c r="F195" s="174"/>
      <c r="G195" s="175"/>
    </row>
    <row r="196" spans="1:7" ht="15">
      <c r="A196" s="12" t="s">
        <v>183</v>
      </c>
      <c r="B196" s="13" t="s">
        <v>184</v>
      </c>
      <c r="C196" s="13" t="s">
        <v>185</v>
      </c>
      <c r="D196" s="13" t="s">
        <v>174</v>
      </c>
      <c r="E196" s="174" t="e">
        <f>'Du toan chi tiet'!#REF!</f>
        <v>#REF!</v>
      </c>
      <c r="F196" s="174"/>
      <c r="G196" s="175"/>
    </row>
    <row r="197" spans="1:7" ht="15">
      <c r="A197" s="12" t="s">
        <v>0</v>
      </c>
      <c r="B197" s="13" t="s">
        <v>0</v>
      </c>
      <c r="C197" s="13" t="s">
        <v>175</v>
      </c>
      <c r="D197" s="13" t="s">
        <v>0</v>
      </c>
      <c r="E197" s="174"/>
      <c r="F197" s="174"/>
      <c r="G197" s="175"/>
    </row>
    <row r="198" spans="1:7" ht="15">
      <c r="A198" s="12" t="s">
        <v>0</v>
      </c>
      <c r="B198" s="13" t="s">
        <v>0</v>
      </c>
      <c r="C198" s="13" t="s">
        <v>176</v>
      </c>
      <c r="D198" s="13" t="s">
        <v>10</v>
      </c>
      <c r="E198" s="174"/>
      <c r="F198" s="174">
        <f>0.034</f>
        <v>0.034</v>
      </c>
      <c r="G198" s="175" t="e">
        <f>E196*F198</f>
        <v>#REF!</v>
      </c>
    </row>
    <row r="199" spans="1:7" ht="15">
      <c r="A199" s="12" t="s">
        <v>0</v>
      </c>
      <c r="B199" s="13" t="s">
        <v>0</v>
      </c>
      <c r="C199" s="13" t="s">
        <v>0</v>
      </c>
      <c r="D199" s="13" t="s">
        <v>0</v>
      </c>
      <c r="E199" s="174"/>
      <c r="F199" s="174"/>
      <c r="G199" s="175"/>
    </row>
    <row r="200" spans="1:7" ht="15">
      <c r="A200" s="12" t="s">
        <v>186</v>
      </c>
      <c r="B200" s="13" t="s">
        <v>187</v>
      </c>
      <c r="C200" s="13" t="s">
        <v>185</v>
      </c>
      <c r="D200" s="13" t="s">
        <v>174</v>
      </c>
      <c r="E200" s="174" t="e">
        <f>'Du toan chi tiet'!#REF!</f>
        <v>#REF!</v>
      </c>
      <c r="F200" s="174"/>
      <c r="G200" s="175"/>
    </row>
    <row r="201" spans="1:7" ht="15">
      <c r="A201" s="12" t="s">
        <v>0</v>
      </c>
      <c r="B201" s="13" t="s">
        <v>0</v>
      </c>
      <c r="C201" s="13" t="s">
        <v>179</v>
      </c>
      <c r="D201" s="13" t="s">
        <v>0</v>
      </c>
      <c r="E201" s="174"/>
      <c r="F201" s="174"/>
      <c r="G201" s="175"/>
    </row>
    <row r="202" spans="1:7" ht="15">
      <c r="A202" s="12" t="s">
        <v>0</v>
      </c>
      <c r="B202" s="13" t="s">
        <v>0</v>
      </c>
      <c r="C202" s="13" t="s">
        <v>176</v>
      </c>
      <c r="D202" s="13" t="s">
        <v>10</v>
      </c>
      <c r="E202" s="174"/>
      <c r="F202" s="174">
        <f>0.025</f>
        <v>0.025</v>
      </c>
      <c r="G202" s="175" t="e">
        <f>E200*F202</f>
        <v>#REF!</v>
      </c>
    </row>
    <row r="203" spans="1:7" ht="15">
      <c r="A203" s="12" t="s">
        <v>0</v>
      </c>
      <c r="B203" s="13" t="s">
        <v>0</v>
      </c>
      <c r="C203" s="13" t="s">
        <v>0</v>
      </c>
      <c r="D203" s="13" t="s">
        <v>0</v>
      </c>
      <c r="E203" s="174"/>
      <c r="F203" s="174"/>
      <c r="G203" s="175"/>
    </row>
    <row r="204" spans="1:7" ht="15">
      <c r="A204" s="12" t="s">
        <v>188</v>
      </c>
      <c r="B204" s="13" t="s">
        <v>189</v>
      </c>
      <c r="C204" s="13" t="s">
        <v>185</v>
      </c>
      <c r="D204" s="13" t="s">
        <v>174</v>
      </c>
      <c r="E204" s="174" t="e">
        <f>'Du toan chi tiet'!#REF!</f>
        <v>#REF!</v>
      </c>
      <c r="F204" s="174"/>
      <c r="G204" s="175"/>
    </row>
    <row r="205" spans="1:7" ht="15">
      <c r="A205" s="12" t="s">
        <v>0</v>
      </c>
      <c r="B205" s="13" t="s">
        <v>0</v>
      </c>
      <c r="C205" s="13" t="s">
        <v>182</v>
      </c>
      <c r="D205" s="13" t="s">
        <v>0</v>
      </c>
      <c r="E205" s="174"/>
      <c r="F205" s="174"/>
      <c r="G205" s="175"/>
    </row>
    <row r="206" spans="1:7" ht="15">
      <c r="A206" s="12" t="s">
        <v>0</v>
      </c>
      <c r="B206" s="13" t="s">
        <v>0</v>
      </c>
      <c r="C206" s="13" t="s">
        <v>176</v>
      </c>
      <c r="D206" s="13" t="s">
        <v>10</v>
      </c>
      <c r="E206" s="174"/>
      <c r="F206" s="174">
        <f>0.018</f>
        <v>0.018</v>
      </c>
      <c r="G206" s="175" t="e">
        <f>E204*F206</f>
        <v>#REF!</v>
      </c>
    </row>
    <row r="207" spans="1:7" ht="15">
      <c r="A207" s="12" t="s">
        <v>0</v>
      </c>
      <c r="B207" s="13" t="s">
        <v>0</v>
      </c>
      <c r="C207" s="13" t="s">
        <v>0</v>
      </c>
      <c r="D207" s="13" t="s">
        <v>0</v>
      </c>
      <c r="E207" s="174"/>
      <c r="F207" s="174"/>
      <c r="G207" s="175"/>
    </row>
    <row r="208" spans="1:7" ht="15">
      <c r="A208" s="12" t="s">
        <v>190</v>
      </c>
      <c r="B208" s="13" t="s">
        <v>191</v>
      </c>
      <c r="C208" s="13" t="s">
        <v>192</v>
      </c>
      <c r="D208" s="13" t="s">
        <v>193</v>
      </c>
      <c r="E208" s="174" t="e">
        <f>'Du toan chi tiet'!#REF!</f>
        <v>#REF!</v>
      </c>
      <c r="F208" s="174"/>
      <c r="G208" s="175"/>
    </row>
    <row r="209" spans="1:7" ht="15">
      <c r="A209" s="12" t="s">
        <v>0</v>
      </c>
      <c r="B209" s="13" t="s">
        <v>0</v>
      </c>
      <c r="C209" s="13" t="s">
        <v>175</v>
      </c>
      <c r="D209" s="13" t="s">
        <v>0</v>
      </c>
      <c r="E209" s="174"/>
      <c r="F209" s="174"/>
      <c r="G209" s="175"/>
    </row>
    <row r="210" spans="1:7" ht="15">
      <c r="A210" s="12" t="s">
        <v>0</v>
      </c>
      <c r="B210" s="13" t="s">
        <v>0</v>
      </c>
      <c r="C210" s="13" t="s">
        <v>194</v>
      </c>
      <c r="D210" s="13" t="s">
        <v>10</v>
      </c>
      <c r="E210" s="174"/>
      <c r="F210" s="174">
        <f>0.022</f>
        <v>0.022</v>
      </c>
      <c r="G210" s="175" t="e">
        <f>E208*F210</f>
        <v>#REF!</v>
      </c>
    </row>
    <row r="211" spans="1:7" ht="15">
      <c r="A211" s="12" t="s">
        <v>0</v>
      </c>
      <c r="B211" s="13" t="s">
        <v>0</v>
      </c>
      <c r="C211" s="13" t="s">
        <v>0</v>
      </c>
      <c r="D211" s="13" t="s">
        <v>0</v>
      </c>
      <c r="E211" s="174"/>
      <c r="F211" s="174"/>
      <c r="G211" s="175"/>
    </row>
    <row r="212" spans="1:7" ht="15">
      <c r="A212" s="12" t="s">
        <v>195</v>
      </c>
      <c r="B212" s="13" t="s">
        <v>196</v>
      </c>
      <c r="C212" s="13" t="s">
        <v>192</v>
      </c>
      <c r="D212" s="13" t="s">
        <v>193</v>
      </c>
      <c r="E212" s="174" t="e">
        <f>'Du toan chi tiet'!#REF!</f>
        <v>#REF!</v>
      </c>
      <c r="F212" s="174"/>
      <c r="G212" s="175"/>
    </row>
    <row r="213" spans="1:7" ht="15">
      <c r="A213" s="12" t="s">
        <v>0</v>
      </c>
      <c r="B213" s="13" t="s">
        <v>0</v>
      </c>
      <c r="C213" s="13" t="s">
        <v>179</v>
      </c>
      <c r="D213" s="13" t="s">
        <v>0</v>
      </c>
      <c r="E213" s="174"/>
      <c r="F213" s="174"/>
      <c r="G213" s="175"/>
    </row>
    <row r="214" spans="1:7" ht="15">
      <c r="A214" s="12" t="s">
        <v>0</v>
      </c>
      <c r="B214" s="13" t="s">
        <v>0</v>
      </c>
      <c r="C214" s="13" t="s">
        <v>194</v>
      </c>
      <c r="D214" s="13" t="s">
        <v>10</v>
      </c>
      <c r="E214" s="174"/>
      <c r="F214" s="174">
        <f>0.016</f>
        <v>0.016</v>
      </c>
      <c r="G214" s="175" t="e">
        <f>E212*F214</f>
        <v>#REF!</v>
      </c>
    </row>
    <row r="215" spans="1:7" ht="15">
      <c r="A215" s="12" t="s">
        <v>0</v>
      </c>
      <c r="B215" s="13" t="s">
        <v>0</v>
      </c>
      <c r="C215" s="13" t="s">
        <v>0</v>
      </c>
      <c r="D215" s="13" t="s">
        <v>0</v>
      </c>
      <c r="E215" s="174"/>
      <c r="F215" s="174"/>
      <c r="G215" s="175"/>
    </row>
    <row r="216" spans="1:7" ht="15">
      <c r="A216" s="12" t="s">
        <v>197</v>
      </c>
      <c r="B216" s="13" t="s">
        <v>198</v>
      </c>
      <c r="C216" s="13" t="s">
        <v>192</v>
      </c>
      <c r="D216" s="13" t="s">
        <v>193</v>
      </c>
      <c r="E216" s="174" t="e">
        <f>'Du toan chi tiet'!#REF!</f>
        <v>#REF!</v>
      </c>
      <c r="F216" s="174"/>
      <c r="G216" s="175"/>
    </row>
    <row r="217" spans="1:7" ht="15">
      <c r="A217" s="12" t="s">
        <v>0</v>
      </c>
      <c r="B217" s="13" t="s">
        <v>0</v>
      </c>
      <c r="C217" s="13" t="s">
        <v>182</v>
      </c>
      <c r="D217" s="13" t="s">
        <v>0</v>
      </c>
      <c r="E217" s="174"/>
      <c r="F217" s="174"/>
      <c r="G217" s="175"/>
    </row>
    <row r="218" spans="1:7" ht="15">
      <c r="A218" s="12" t="s">
        <v>0</v>
      </c>
      <c r="B218" s="13" t="s">
        <v>0</v>
      </c>
      <c r="C218" s="13" t="s">
        <v>194</v>
      </c>
      <c r="D218" s="13" t="s">
        <v>10</v>
      </c>
      <c r="E218" s="174"/>
      <c r="F218" s="174">
        <f>0.011</f>
        <v>0.011</v>
      </c>
      <c r="G218" s="175" t="e">
        <f>E216*F218</f>
        <v>#REF!</v>
      </c>
    </row>
    <row r="219" spans="1:7" ht="15">
      <c r="A219" s="12" t="s">
        <v>0</v>
      </c>
      <c r="B219" s="13" t="s">
        <v>0</v>
      </c>
      <c r="C219" s="13" t="s">
        <v>0</v>
      </c>
      <c r="D219" s="13" t="s">
        <v>0</v>
      </c>
      <c r="E219" s="174"/>
      <c r="F219" s="174"/>
      <c r="G219" s="175"/>
    </row>
    <row r="220" spans="1:7" ht="15">
      <c r="A220" s="12" t="s">
        <v>199</v>
      </c>
      <c r="B220" s="13" t="s">
        <v>200</v>
      </c>
      <c r="C220" s="13" t="s">
        <v>201</v>
      </c>
      <c r="D220" s="13" t="s">
        <v>193</v>
      </c>
      <c r="E220" s="174" t="e">
        <f>'Du toan chi tiet'!#REF!</f>
        <v>#REF!</v>
      </c>
      <c r="F220" s="174"/>
      <c r="G220" s="175"/>
    </row>
    <row r="221" spans="1:7" ht="15">
      <c r="A221" s="12" t="s">
        <v>0</v>
      </c>
      <c r="B221" s="13" t="s">
        <v>0</v>
      </c>
      <c r="C221" s="13" t="s">
        <v>175</v>
      </c>
      <c r="D221" s="13" t="s">
        <v>0</v>
      </c>
      <c r="E221" s="174"/>
      <c r="F221" s="174"/>
      <c r="G221" s="175"/>
    </row>
    <row r="222" spans="1:7" ht="15">
      <c r="A222" s="12" t="s">
        <v>0</v>
      </c>
      <c r="B222" s="13" t="s">
        <v>0</v>
      </c>
      <c r="C222" s="13" t="s">
        <v>194</v>
      </c>
      <c r="D222" s="13" t="s">
        <v>10</v>
      </c>
      <c r="E222" s="174"/>
      <c r="F222" s="174">
        <f>0.024</f>
        <v>0.024</v>
      </c>
      <c r="G222" s="175" t="e">
        <f>E220*F222</f>
        <v>#REF!</v>
      </c>
    </row>
    <row r="223" spans="1:7" ht="15">
      <c r="A223" s="12" t="s">
        <v>0</v>
      </c>
      <c r="B223" s="13" t="s">
        <v>0</v>
      </c>
      <c r="C223" s="13" t="s">
        <v>0</v>
      </c>
      <c r="D223" s="13" t="s">
        <v>0</v>
      </c>
      <c r="E223" s="174"/>
      <c r="F223" s="174"/>
      <c r="G223" s="175"/>
    </row>
    <row r="224" spans="1:7" ht="15">
      <c r="A224" s="12" t="s">
        <v>202</v>
      </c>
      <c r="B224" s="13" t="s">
        <v>203</v>
      </c>
      <c r="C224" s="13" t="s">
        <v>201</v>
      </c>
      <c r="D224" s="13" t="s">
        <v>193</v>
      </c>
      <c r="E224" s="174" t="e">
        <f>'Du toan chi tiet'!#REF!</f>
        <v>#REF!</v>
      </c>
      <c r="F224" s="174"/>
      <c r="G224" s="175"/>
    </row>
    <row r="225" spans="1:7" ht="15">
      <c r="A225" s="12" t="s">
        <v>0</v>
      </c>
      <c r="B225" s="13" t="s">
        <v>0</v>
      </c>
      <c r="C225" s="13" t="s">
        <v>179</v>
      </c>
      <c r="D225" s="13" t="s">
        <v>0</v>
      </c>
      <c r="E225" s="174"/>
      <c r="F225" s="174"/>
      <c r="G225" s="175"/>
    </row>
    <row r="226" spans="1:7" ht="15">
      <c r="A226" s="12" t="s">
        <v>0</v>
      </c>
      <c r="B226" s="13" t="s">
        <v>0</v>
      </c>
      <c r="C226" s="13" t="s">
        <v>194</v>
      </c>
      <c r="D226" s="13" t="s">
        <v>10</v>
      </c>
      <c r="E226" s="174"/>
      <c r="F226" s="174">
        <f>0.018</f>
        <v>0.018</v>
      </c>
      <c r="G226" s="175" t="e">
        <f>E224*F226</f>
        <v>#REF!</v>
      </c>
    </row>
    <row r="227" spans="1:7" ht="15">
      <c r="A227" s="12" t="s">
        <v>0</v>
      </c>
      <c r="B227" s="13" t="s">
        <v>0</v>
      </c>
      <c r="C227" s="13" t="s">
        <v>0</v>
      </c>
      <c r="D227" s="13" t="s">
        <v>0</v>
      </c>
      <c r="E227" s="174"/>
      <c r="F227" s="174"/>
      <c r="G227" s="175"/>
    </row>
    <row r="228" spans="1:7" ht="15">
      <c r="A228" s="12" t="s">
        <v>204</v>
      </c>
      <c r="B228" s="13" t="s">
        <v>205</v>
      </c>
      <c r="C228" s="13" t="s">
        <v>201</v>
      </c>
      <c r="D228" s="13" t="s">
        <v>193</v>
      </c>
      <c r="E228" s="174" t="e">
        <f>'Du toan chi tiet'!#REF!</f>
        <v>#REF!</v>
      </c>
      <c r="F228" s="174"/>
      <c r="G228" s="175"/>
    </row>
    <row r="229" spans="1:7" ht="15">
      <c r="A229" s="12" t="s">
        <v>0</v>
      </c>
      <c r="B229" s="13" t="s">
        <v>0</v>
      </c>
      <c r="C229" s="13" t="s">
        <v>182</v>
      </c>
      <c r="D229" s="13" t="s">
        <v>0</v>
      </c>
      <c r="E229" s="174"/>
      <c r="F229" s="174"/>
      <c r="G229" s="175"/>
    </row>
    <row r="230" spans="1:7" ht="15">
      <c r="A230" s="12" t="s">
        <v>0</v>
      </c>
      <c r="B230" s="13" t="s">
        <v>0</v>
      </c>
      <c r="C230" s="13" t="s">
        <v>194</v>
      </c>
      <c r="D230" s="13" t="s">
        <v>10</v>
      </c>
      <c r="E230" s="174"/>
      <c r="F230" s="174">
        <f>0.011</f>
        <v>0.011</v>
      </c>
      <c r="G230" s="175" t="e">
        <f>E228*F230</f>
        <v>#REF!</v>
      </c>
    </row>
    <row r="231" spans="1:7" ht="15">
      <c r="A231" s="12" t="s">
        <v>0</v>
      </c>
      <c r="B231" s="13" t="s">
        <v>0</v>
      </c>
      <c r="C231" s="13" t="s">
        <v>0</v>
      </c>
      <c r="D231" s="13" t="s">
        <v>0</v>
      </c>
      <c r="E231" s="174"/>
      <c r="F231" s="174"/>
      <c r="G231" s="175"/>
    </row>
    <row r="232" spans="1:7" ht="15">
      <c r="A232" s="12" t="s">
        <v>206</v>
      </c>
      <c r="B232" s="13" t="s">
        <v>207</v>
      </c>
      <c r="C232" s="13" t="s">
        <v>208</v>
      </c>
      <c r="D232" s="13" t="s">
        <v>209</v>
      </c>
      <c r="E232" s="174" t="e">
        <f>'Du toan chi tiet'!#REF!</f>
        <v>#REF!</v>
      </c>
      <c r="F232" s="174"/>
      <c r="G232" s="175"/>
    </row>
    <row r="233" spans="1:7" ht="15">
      <c r="A233" s="12" t="s">
        <v>0</v>
      </c>
      <c r="B233" s="13" t="s">
        <v>0</v>
      </c>
      <c r="C233" s="13" t="s">
        <v>210</v>
      </c>
      <c r="D233" s="13" t="s">
        <v>0</v>
      </c>
      <c r="E233" s="174"/>
      <c r="F233" s="174"/>
      <c r="G233" s="175"/>
    </row>
    <row r="234" spans="1:7" ht="15">
      <c r="A234" s="12" t="s">
        <v>0</v>
      </c>
      <c r="B234" s="13" t="s">
        <v>0</v>
      </c>
      <c r="C234" s="13" t="s">
        <v>7</v>
      </c>
      <c r="D234" s="13" t="s">
        <v>8</v>
      </c>
      <c r="E234" s="174"/>
      <c r="F234" s="174">
        <f>0.11</f>
        <v>0.11</v>
      </c>
      <c r="G234" s="175" t="e">
        <f>E232*F234</f>
        <v>#REF!</v>
      </c>
    </row>
    <row r="235" spans="1:7" ht="15">
      <c r="A235" s="12" t="s">
        <v>0</v>
      </c>
      <c r="B235" s="13" t="s">
        <v>0</v>
      </c>
      <c r="C235" s="13" t="s">
        <v>0</v>
      </c>
      <c r="D235" s="13" t="s">
        <v>0</v>
      </c>
      <c r="E235" s="174"/>
      <c r="F235" s="174"/>
      <c r="G235" s="175"/>
    </row>
    <row r="236" spans="1:7" ht="15">
      <c r="A236" s="12" t="s">
        <v>211</v>
      </c>
      <c r="B236" s="13" t="s">
        <v>212</v>
      </c>
      <c r="C236" s="13" t="s">
        <v>208</v>
      </c>
      <c r="D236" s="13" t="s">
        <v>21</v>
      </c>
      <c r="E236" s="174" t="e">
        <f>'Du toan chi tiet'!#REF!</f>
        <v>#REF!</v>
      </c>
      <c r="F236" s="174"/>
      <c r="G236" s="175"/>
    </row>
    <row r="237" spans="1:7" ht="15">
      <c r="A237" s="12" t="s">
        <v>0</v>
      </c>
      <c r="B237" s="13" t="s">
        <v>0</v>
      </c>
      <c r="C237" s="13" t="s">
        <v>213</v>
      </c>
      <c r="D237" s="13" t="s">
        <v>0</v>
      </c>
      <c r="E237" s="174"/>
      <c r="F237" s="174"/>
      <c r="G237" s="175"/>
    </row>
    <row r="238" spans="1:7" ht="15">
      <c r="A238" s="12" t="s">
        <v>0</v>
      </c>
      <c r="B238" s="13" t="s">
        <v>0</v>
      </c>
      <c r="C238" s="13" t="s">
        <v>7</v>
      </c>
      <c r="D238" s="13" t="s">
        <v>8</v>
      </c>
      <c r="E238" s="174"/>
      <c r="F238" s="174">
        <f>0.09</f>
        <v>0.09</v>
      </c>
      <c r="G238" s="175" t="e">
        <f>E236*F238</f>
        <v>#REF!</v>
      </c>
    </row>
    <row r="239" spans="1:7" ht="15">
      <c r="A239" s="12" t="s">
        <v>0</v>
      </c>
      <c r="B239" s="13" t="s">
        <v>0</v>
      </c>
      <c r="C239" s="13" t="s">
        <v>0</v>
      </c>
      <c r="D239" s="13" t="s">
        <v>0</v>
      </c>
      <c r="E239" s="174"/>
      <c r="F239" s="174"/>
      <c r="G239" s="175"/>
    </row>
    <row r="240" spans="1:7" ht="15">
      <c r="A240" s="12" t="s">
        <v>214</v>
      </c>
      <c r="B240" s="13" t="s">
        <v>215</v>
      </c>
      <c r="C240" s="13" t="s">
        <v>208</v>
      </c>
      <c r="D240" s="13" t="s">
        <v>209</v>
      </c>
      <c r="E240" s="174" t="e">
        <f>'Du toan chi tiet'!#REF!</f>
        <v>#REF!</v>
      </c>
      <c r="F240" s="174"/>
      <c r="G240" s="175"/>
    </row>
    <row r="241" spans="1:7" ht="15">
      <c r="A241" s="12" t="s">
        <v>0</v>
      </c>
      <c r="B241" s="13" t="s">
        <v>0</v>
      </c>
      <c r="C241" s="13" t="s">
        <v>216</v>
      </c>
      <c r="D241" s="13" t="s">
        <v>0</v>
      </c>
      <c r="E241" s="174"/>
      <c r="F241" s="174"/>
      <c r="G241" s="175"/>
    </row>
    <row r="242" spans="1:7" ht="15">
      <c r="A242" s="12" t="s">
        <v>0</v>
      </c>
      <c r="B242" s="13" t="s">
        <v>0</v>
      </c>
      <c r="C242" s="13" t="s">
        <v>7</v>
      </c>
      <c r="D242" s="13" t="s">
        <v>8</v>
      </c>
      <c r="E242" s="174"/>
      <c r="F242" s="174">
        <f>0.21</f>
        <v>0.21</v>
      </c>
      <c r="G242" s="175" t="e">
        <f>E240*F242</f>
        <v>#REF!</v>
      </c>
    </row>
    <row r="243" spans="1:7" ht="15">
      <c r="A243" s="12" t="s">
        <v>0</v>
      </c>
      <c r="B243" s="13" t="s">
        <v>0</v>
      </c>
      <c r="C243" s="13" t="s">
        <v>0</v>
      </c>
      <c r="D243" s="13" t="s">
        <v>0</v>
      </c>
      <c r="E243" s="174"/>
      <c r="F243" s="174"/>
      <c r="G243" s="175"/>
    </row>
    <row r="244" spans="1:7" ht="15">
      <c r="A244" s="12" t="s">
        <v>0</v>
      </c>
      <c r="B244" s="13" t="s">
        <v>0</v>
      </c>
      <c r="C244" s="13" t="s">
        <v>0</v>
      </c>
      <c r="D244" s="13" t="s">
        <v>0</v>
      </c>
      <c r="E244" s="174"/>
      <c r="F244" s="174"/>
      <c r="G244" s="175"/>
    </row>
    <row r="245" spans="1:7" ht="15">
      <c r="A245" s="12" t="s">
        <v>0</v>
      </c>
      <c r="B245" s="13" t="s">
        <v>0</v>
      </c>
      <c r="C245" s="13" t="s">
        <v>0</v>
      </c>
      <c r="D245" s="13" t="s">
        <v>0</v>
      </c>
      <c r="E245" s="174"/>
      <c r="F245" s="174"/>
      <c r="G245" s="175"/>
    </row>
    <row r="246" spans="1:7" ht="15">
      <c r="A246" s="12" t="s">
        <v>0</v>
      </c>
      <c r="B246" s="13" t="s">
        <v>0</v>
      </c>
      <c r="C246" s="13" t="s">
        <v>0</v>
      </c>
      <c r="D246" s="13" t="s">
        <v>0</v>
      </c>
      <c r="E246" s="174"/>
      <c r="F246" s="174"/>
      <c r="G246" s="175"/>
    </row>
    <row r="247" spans="1:7" ht="15">
      <c r="A247" s="12" t="s">
        <v>0</v>
      </c>
      <c r="B247" s="13" t="s">
        <v>0</v>
      </c>
      <c r="C247" s="13" t="s">
        <v>0</v>
      </c>
      <c r="D247" s="13" t="s">
        <v>0</v>
      </c>
      <c r="E247" s="174"/>
      <c r="F247" s="174"/>
      <c r="G247" s="175"/>
    </row>
    <row r="248" spans="1:7" ht="15">
      <c r="A248" s="12" t="s">
        <v>0</v>
      </c>
      <c r="B248" s="13" t="s">
        <v>0</v>
      </c>
      <c r="C248" s="13" t="s">
        <v>0</v>
      </c>
      <c r="D248" s="13" t="s">
        <v>0</v>
      </c>
      <c r="E248" s="174"/>
      <c r="F248" s="174"/>
      <c r="G248" s="175"/>
    </row>
    <row r="249" spans="1:7" ht="15">
      <c r="A249" s="12" t="s">
        <v>0</v>
      </c>
      <c r="B249" s="13" t="s">
        <v>0</v>
      </c>
      <c r="C249" s="13" t="s">
        <v>0</v>
      </c>
      <c r="D249" s="13" t="s">
        <v>0</v>
      </c>
      <c r="E249" s="174"/>
      <c r="F249" s="174"/>
      <c r="G249" s="175"/>
    </row>
    <row r="250" spans="1:7" ht="15">
      <c r="A250" s="12" t="s">
        <v>0</v>
      </c>
      <c r="B250" s="13" t="s">
        <v>0</v>
      </c>
      <c r="C250" s="13" t="s">
        <v>0</v>
      </c>
      <c r="D250" s="13" t="s">
        <v>0</v>
      </c>
      <c r="E250" s="174"/>
      <c r="F250" s="174"/>
      <c r="G250" s="175"/>
    </row>
    <row r="251" spans="1:7" ht="15">
      <c r="A251" s="12" t="s">
        <v>0</v>
      </c>
      <c r="B251" s="13" t="s">
        <v>0</v>
      </c>
      <c r="C251" s="13" t="s">
        <v>0</v>
      </c>
      <c r="D251" s="13" t="s">
        <v>0</v>
      </c>
      <c r="E251" s="174"/>
      <c r="F251" s="174"/>
      <c r="G251" s="175"/>
    </row>
    <row r="252" spans="1:7" ht="15">
      <c r="A252" s="12" t="s">
        <v>0</v>
      </c>
      <c r="B252" s="13" t="s">
        <v>0</v>
      </c>
      <c r="C252" s="13" t="s">
        <v>0</v>
      </c>
      <c r="D252" s="13" t="s">
        <v>0</v>
      </c>
      <c r="E252" s="174"/>
      <c r="F252" s="174"/>
      <c r="G252" s="175"/>
    </row>
    <row r="253" spans="1:7" ht="15.75" thickBot="1">
      <c r="A253" s="16" t="s">
        <v>0</v>
      </c>
      <c r="B253" s="17" t="s">
        <v>0</v>
      </c>
      <c r="C253" s="17" t="s">
        <v>0</v>
      </c>
      <c r="D253" s="17" t="s">
        <v>0</v>
      </c>
      <c r="E253" s="176"/>
      <c r="F253" s="176"/>
      <c r="G253" s="177"/>
    </row>
  </sheetData>
  <sheetProtection/>
  <mergeCells count="4">
    <mergeCell ref="A1:G1"/>
    <mergeCell ref="A3:G3"/>
    <mergeCell ref="A4:G4"/>
    <mergeCell ref="A5:G5"/>
  </mergeCells>
  <printOptions horizontalCentered="1"/>
  <pageMargins left="0.75" right="0.5" top="0.75" bottom="0.75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3"/>
  <sheetViews>
    <sheetView showZeros="0" zoomScalePageLayoutView="0" workbookViewId="0" topLeftCell="A13">
      <selection activeCell="G37" sqref="G37"/>
    </sheetView>
  </sheetViews>
  <sheetFormatPr defaultColWidth="8.796875" defaultRowHeight="15"/>
  <cols>
    <col min="1" max="1" width="4.59765625" style="24" customWidth="1"/>
    <col min="2" max="2" width="35.59765625" style="6" customWidth="1"/>
    <col min="3" max="3" width="6.59765625" style="24" customWidth="1"/>
    <col min="4" max="4" width="21.19921875" style="6" customWidth="1"/>
    <col min="5" max="5" width="15.59765625" style="7" hidden="1" customWidth="1"/>
    <col min="6" max="6" width="5.59765625" style="24" hidden="1" customWidth="1"/>
    <col min="7" max="7" width="15.59765625" style="7" customWidth="1"/>
    <col min="8" max="8" width="9.8984375" style="6" bestFit="1" customWidth="1"/>
    <col min="9" max="10" width="12.19921875" style="6" bestFit="1" customWidth="1"/>
    <col min="11" max="11" width="10.3984375" style="6" bestFit="1" customWidth="1"/>
    <col min="12" max="12" width="9" style="6" customWidth="1"/>
    <col min="13" max="13" width="12.3984375" style="6" bestFit="1" customWidth="1"/>
    <col min="14" max="16384" width="9" style="6" customWidth="1"/>
  </cols>
  <sheetData>
    <row r="1" spans="1:7" ht="15.75">
      <c r="A1" s="239" t="s">
        <v>420</v>
      </c>
      <c r="B1" s="239"/>
      <c r="C1" s="239"/>
      <c r="D1" s="239"/>
      <c r="E1" s="239"/>
      <c r="F1" s="239"/>
      <c r="G1" s="239"/>
    </row>
    <row r="2" spans="1:7" ht="15.75">
      <c r="A2" s="239" t="s">
        <v>421</v>
      </c>
      <c r="B2" s="239"/>
      <c r="C2" s="239"/>
      <c r="D2" s="239"/>
      <c r="E2" s="239"/>
      <c r="F2" s="239"/>
      <c r="G2" s="239"/>
    </row>
    <row r="3" spans="1:7" ht="15.75">
      <c r="A3" s="240" t="s">
        <v>422</v>
      </c>
      <c r="B3" s="240"/>
      <c r="C3" s="240"/>
      <c r="D3" s="240"/>
      <c r="E3" s="240"/>
      <c r="F3" s="240"/>
      <c r="G3" s="240"/>
    </row>
    <row r="4" spans="1:7" ht="6" customHeight="1">
      <c r="A4" s="33"/>
      <c r="B4" s="2"/>
      <c r="C4" s="33"/>
      <c r="D4" s="2"/>
      <c r="E4" s="4"/>
      <c r="F4" s="33"/>
      <c r="G4" s="4"/>
    </row>
    <row r="5" spans="1:7" ht="16.5">
      <c r="A5" s="241" t="s">
        <v>533</v>
      </c>
      <c r="B5" s="241"/>
      <c r="C5" s="241"/>
      <c r="D5" s="241"/>
      <c r="E5" s="241"/>
      <c r="F5" s="241"/>
      <c r="G5" s="241"/>
    </row>
    <row r="6" spans="1:7" ht="7.5" customHeight="1">
      <c r="A6" s="33"/>
      <c r="B6" s="2"/>
      <c r="C6" s="33"/>
      <c r="D6" s="2"/>
      <c r="E6" s="4"/>
      <c r="F6" s="33"/>
      <c r="G6" s="4"/>
    </row>
    <row r="7" spans="1:7" s="39" customFormat="1" ht="16.5">
      <c r="A7" s="242" t="s">
        <v>423</v>
      </c>
      <c r="B7" s="242"/>
      <c r="C7" s="242"/>
      <c r="D7" s="242"/>
      <c r="E7" s="242"/>
      <c r="F7" s="242"/>
      <c r="G7" s="242"/>
    </row>
    <row r="8" spans="1:7" s="39" customFormat="1" ht="16.5">
      <c r="A8" s="242" t="s">
        <v>424</v>
      </c>
      <c r="B8" s="242"/>
      <c r="C8" s="242"/>
      <c r="D8" s="242"/>
      <c r="E8" s="242"/>
      <c r="F8" s="242"/>
      <c r="G8" s="242"/>
    </row>
    <row r="9" spans="1:7" s="39" customFormat="1" ht="16.5">
      <c r="A9" s="237" t="s">
        <v>501</v>
      </c>
      <c r="B9" s="237"/>
      <c r="C9" s="237"/>
      <c r="D9" s="237"/>
      <c r="E9" s="237"/>
      <c r="F9" s="237"/>
      <c r="G9" s="237"/>
    </row>
    <row r="10" spans="1:7" ht="17.25" thickBot="1">
      <c r="A10" s="33"/>
      <c r="B10" s="2"/>
      <c r="C10" s="33"/>
      <c r="D10" s="2"/>
      <c r="E10" s="4"/>
      <c r="F10" s="33"/>
      <c r="G10" s="228" t="s">
        <v>532</v>
      </c>
    </row>
    <row r="11" spans="1:7" ht="36" customHeight="1">
      <c r="A11" s="34" t="s">
        <v>276</v>
      </c>
      <c r="B11" s="35" t="s">
        <v>425</v>
      </c>
      <c r="C11" s="36" t="s">
        <v>426</v>
      </c>
      <c r="D11" s="35" t="s">
        <v>427</v>
      </c>
      <c r="E11" s="37" t="s">
        <v>428</v>
      </c>
      <c r="F11" s="36" t="s">
        <v>429</v>
      </c>
      <c r="G11" s="38" t="s">
        <v>430</v>
      </c>
    </row>
    <row r="12" spans="1:11" ht="15.75">
      <c r="A12" s="25" t="s">
        <v>261</v>
      </c>
      <c r="B12" s="21" t="s">
        <v>260</v>
      </c>
      <c r="C12" s="29" t="s">
        <v>259</v>
      </c>
      <c r="D12" s="229" t="s">
        <v>534</v>
      </c>
      <c r="E12" s="22">
        <f>SUM(E13:E13)</f>
        <v>872081000</v>
      </c>
      <c r="F12" s="29"/>
      <c r="G12" s="23">
        <f aca="true" t="shared" si="0" ref="G12:G29">E12*(1+F12/100)</f>
        <v>872081000</v>
      </c>
      <c r="I12" s="182">
        <v>867357000</v>
      </c>
      <c r="J12" s="182">
        <f>G12</f>
        <v>872081000</v>
      </c>
      <c r="K12" s="182">
        <f aca="true" t="shared" si="1" ref="K12:K17">J12-I12</f>
        <v>4724000</v>
      </c>
    </row>
    <row r="13" spans="1:11" ht="15">
      <c r="A13" s="26" t="s">
        <v>0</v>
      </c>
      <c r="B13" s="13" t="s">
        <v>258</v>
      </c>
      <c r="C13" s="30" t="s">
        <v>257</v>
      </c>
      <c r="D13" s="230" t="s">
        <v>256</v>
      </c>
      <c r="E13" s="14">
        <f>ROUND('CP Xay lap'!E20,-3)</f>
        <v>872081000</v>
      </c>
      <c r="F13" s="30"/>
      <c r="G13" s="15">
        <f t="shared" si="0"/>
        <v>872081000</v>
      </c>
      <c r="I13" s="182">
        <v>18639000</v>
      </c>
      <c r="J13" s="182">
        <f>G14</f>
        <v>23425000</v>
      </c>
      <c r="K13" s="182">
        <f t="shared" si="1"/>
        <v>4786000</v>
      </c>
    </row>
    <row r="14" spans="1:11" ht="15.75">
      <c r="A14" s="27" t="s">
        <v>255</v>
      </c>
      <c r="B14" s="9" t="s">
        <v>254</v>
      </c>
      <c r="C14" s="31" t="s">
        <v>253</v>
      </c>
      <c r="D14" s="231" t="s">
        <v>492</v>
      </c>
      <c r="E14" s="10">
        <f>ROUND(E12*2.901%/1.08,-3)</f>
        <v>23425000</v>
      </c>
      <c r="F14" s="31"/>
      <c r="G14" s="11">
        <f t="shared" si="0"/>
        <v>23425000</v>
      </c>
      <c r="I14" s="182">
        <v>98637000</v>
      </c>
      <c r="J14" s="182">
        <f>G15</f>
        <v>90553000</v>
      </c>
      <c r="K14" s="182">
        <f t="shared" si="1"/>
        <v>-8084000</v>
      </c>
    </row>
    <row r="15" spans="1:11" ht="15.75">
      <c r="A15" s="27" t="s">
        <v>252</v>
      </c>
      <c r="B15" s="9" t="s">
        <v>251</v>
      </c>
      <c r="C15" s="31" t="s">
        <v>250</v>
      </c>
      <c r="D15" s="231" t="s">
        <v>249</v>
      </c>
      <c r="E15" s="10">
        <f>SUM(E16:E20)</f>
        <v>90553000</v>
      </c>
      <c r="F15" s="31"/>
      <c r="G15" s="11">
        <f>E15*(1+F15/100)</f>
        <v>90553000</v>
      </c>
      <c r="H15" s="7"/>
      <c r="I15" s="182">
        <v>15172000</v>
      </c>
      <c r="J15" s="182">
        <f>G21</f>
        <v>13377000</v>
      </c>
      <c r="K15" s="182">
        <f t="shared" si="1"/>
        <v>-1795000</v>
      </c>
    </row>
    <row r="16" spans="1:11" ht="15">
      <c r="A16" s="26" t="s">
        <v>0</v>
      </c>
      <c r="B16" s="13" t="s">
        <v>248</v>
      </c>
      <c r="C16" s="30" t="s">
        <v>247</v>
      </c>
      <c r="D16" s="230" t="s">
        <v>499</v>
      </c>
      <c r="E16" s="184">
        <v>13194000</v>
      </c>
      <c r="F16" s="30"/>
      <c r="G16" s="15">
        <f t="shared" si="0"/>
        <v>13194000</v>
      </c>
      <c r="I16" s="182">
        <f>49988000+207000</f>
        <v>50195000</v>
      </c>
      <c r="J16" s="182">
        <f>G26</f>
        <v>50564000</v>
      </c>
      <c r="K16" s="182">
        <f t="shared" si="1"/>
        <v>369000</v>
      </c>
    </row>
    <row r="17" spans="1:13" ht="15.75">
      <c r="A17" s="26" t="s">
        <v>0</v>
      </c>
      <c r="B17" s="13" t="s">
        <v>246</v>
      </c>
      <c r="C17" s="30" t="s">
        <v>245</v>
      </c>
      <c r="D17" s="230" t="s">
        <v>244</v>
      </c>
      <c r="E17" s="14">
        <f>ROUND(E12*5.8/100,-3)</f>
        <v>50581000</v>
      </c>
      <c r="F17" s="30"/>
      <c r="G17" s="15">
        <f t="shared" si="0"/>
        <v>50581000</v>
      </c>
      <c r="I17" s="183">
        <f>SUM(I12:I16)</f>
        <v>1050000000</v>
      </c>
      <c r="J17" s="183">
        <f>SUM(J12:J16)</f>
        <v>1050000000</v>
      </c>
      <c r="K17" s="183">
        <f t="shared" si="1"/>
        <v>0</v>
      </c>
      <c r="M17" s="7">
        <f>+G16+G17</f>
        <v>63775000</v>
      </c>
    </row>
    <row r="18" spans="1:13" ht="15.75">
      <c r="A18" s="26" t="s">
        <v>0</v>
      </c>
      <c r="B18" s="13" t="s">
        <v>243</v>
      </c>
      <c r="C18" s="30" t="s">
        <v>242</v>
      </c>
      <c r="D18" s="230" t="s">
        <v>493</v>
      </c>
      <c r="E18" s="14">
        <f>2200000</f>
        <v>2200000</v>
      </c>
      <c r="F18" s="30"/>
      <c r="G18" s="15">
        <f t="shared" si="0"/>
        <v>2200000</v>
      </c>
      <c r="I18" s="11"/>
      <c r="J18" s="11"/>
      <c r="K18" s="11"/>
      <c r="M18" s="7">
        <f>+G18+G19</f>
        <v>4400000</v>
      </c>
    </row>
    <row r="19" spans="1:13" ht="15.75">
      <c r="A19" s="26" t="s">
        <v>0</v>
      </c>
      <c r="B19" s="13" t="s">
        <v>241</v>
      </c>
      <c r="C19" s="30" t="s">
        <v>240</v>
      </c>
      <c r="D19" s="230" t="s">
        <v>493</v>
      </c>
      <c r="E19" s="14">
        <f>2200000</f>
        <v>2200000</v>
      </c>
      <c r="F19" s="30"/>
      <c r="G19" s="15">
        <f t="shared" si="0"/>
        <v>2200000</v>
      </c>
      <c r="I19" s="11"/>
      <c r="J19" s="11"/>
      <c r="K19" s="11"/>
      <c r="M19" s="7">
        <f>+G12</f>
        <v>872081000</v>
      </c>
    </row>
    <row r="20" spans="1:13" ht="15.75">
      <c r="A20" s="26" t="s">
        <v>0</v>
      </c>
      <c r="B20" s="13" t="s">
        <v>239</v>
      </c>
      <c r="C20" s="30" t="s">
        <v>238</v>
      </c>
      <c r="D20" s="230" t="s">
        <v>237</v>
      </c>
      <c r="E20" s="14">
        <f>ROUND(E12*2.566/100,-3)</f>
        <v>22378000</v>
      </c>
      <c r="F20" s="30"/>
      <c r="G20" s="15">
        <f t="shared" si="0"/>
        <v>22378000</v>
      </c>
      <c r="I20" s="11"/>
      <c r="J20" s="11"/>
      <c r="K20" s="11"/>
      <c r="M20" s="7">
        <f>+G20</f>
        <v>22378000</v>
      </c>
    </row>
    <row r="21" spans="1:13" ht="15.75">
      <c r="A21" s="27" t="s">
        <v>236</v>
      </c>
      <c r="B21" s="9" t="s">
        <v>235</v>
      </c>
      <c r="C21" s="31" t="s">
        <v>234</v>
      </c>
      <c r="D21" s="231" t="s">
        <v>233</v>
      </c>
      <c r="E21" s="10">
        <f>SUM(E22:E25)</f>
        <v>13377000</v>
      </c>
      <c r="F21" s="31"/>
      <c r="G21" s="11">
        <f>E21*(1+F21/100)</f>
        <v>13377000</v>
      </c>
      <c r="H21" s="7"/>
      <c r="I21" s="11"/>
      <c r="J21" s="11"/>
      <c r="K21" s="11"/>
      <c r="M21" s="7">
        <f>+G23</f>
        <v>2180000</v>
      </c>
    </row>
    <row r="22" spans="1:13" ht="15.75">
      <c r="A22" s="26" t="s">
        <v>0</v>
      </c>
      <c r="B22" s="13" t="s">
        <v>232</v>
      </c>
      <c r="C22" s="30" t="s">
        <v>231</v>
      </c>
      <c r="D22" s="230" t="s">
        <v>493</v>
      </c>
      <c r="E22" s="14">
        <v>500000</v>
      </c>
      <c r="F22" s="30"/>
      <c r="G22" s="15">
        <f t="shared" si="0"/>
        <v>500000</v>
      </c>
      <c r="I22" s="11"/>
      <c r="J22" s="11"/>
      <c r="K22" s="11"/>
      <c r="M22" s="7">
        <f>+G14+G22+G24+G25</f>
        <v>34622000</v>
      </c>
    </row>
    <row r="23" spans="1:13" ht="15.75">
      <c r="A23" s="26" t="s">
        <v>0</v>
      </c>
      <c r="B23" s="13" t="s">
        <v>230</v>
      </c>
      <c r="C23" s="30" t="s">
        <v>229</v>
      </c>
      <c r="D23" s="230" t="s">
        <v>494</v>
      </c>
      <c r="E23" s="14">
        <f>ROUND(E12*0.25/100,-3)</f>
        <v>2180000</v>
      </c>
      <c r="F23" s="30"/>
      <c r="G23" s="15">
        <f t="shared" si="0"/>
        <v>2180000</v>
      </c>
      <c r="I23" s="11"/>
      <c r="J23" s="11"/>
      <c r="K23" s="11"/>
      <c r="M23" s="7">
        <f>+G27</f>
        <v>50564000</v>
      </c>
    </row>
    <row r="24" spans="1:13" ht="15.75">
      <c r="A24" s="26" t="s">
        <v>0</v>
      </c>
      <c r="B24" s="13" t="s">
        <v>228</v>
      </c>
      <c r="C24" s="30" t="s">
        <v>227</v>
      </c>
      <c r="D24" s="230" t="s">
        <v>495</v>
      </c>
      <c r="E24" s="14">
        <f>ROUND(I27*0.57/100,-3)</f>
        <v>5697000</v>
      </c>
      <c r="F24" s="30"/>
      <c r="G24" s="15">
        <f t="shared" si="0"/>
        <v>5697000</v>
      </c>
      <c r="I24" s="11"/>
      <c r="J24" s="11"/>
      <c r="K24" s="11"/>
      <c r="M24" s="7">
        <f>SUM(M17:M23)</f>
        <v>1050000000</v>
      </c>
    </row>
    <row r="25" spans="1:11" ht="15.75">
      <c r="A25" s="26" t="s">
        <v>0</v>
      </c>
      <c r="B25" s="13" t="s">
        <v>226</v>
      </c>
      <c r="C25" s="30" t="s">
        <v>225</v>
      </c>
      <c r="D25" s="230" t="s">
        <v>496</v>
      </c>
      <c r="E25" s="14">
        <v>5000000</v>
      </c>
      <c r="F25" s="30"/>
      <c r="G25" s="15">
        <f t="shared" si="0"/>
        <v>5000000</v>
      </c>
      <c r="I25" s="11"/>
      <c r="J25" s="11"/>
      <c r="K25" s="11"/>
    </row>
    <row r="26" spans="1:11" ht="15.75">
      <c r="A26" s="27" t="s">
        <v>224</v>
      </c>
      <c r="B26" s="9" t="s">
        <v>223</v>
      </c>
      <c r="C26" s="31" t="s">
        <v>222</v>
      </c>
      <c r="D26" s="231" t="s">
        <v>221</v>
      </c>
      <c r="E26" s="10">
        <f>E27</f>
        <v>50564000</v>
      </c>
      <c r="F26" s="31"/>
      <c r="G26" s="11">
        <f t="shared" si="0"/>
        <v>50564000</v>
      </c>
      <c r="I26" s="11"/>
      <c r="J26" s="11"/>
      <c r="K26" s="11"/>
    </row>
    <row r="27" spans="1:11" ht="15.75">
      <c r="A27" s="26" t="s">
        <v>0</v>
      </c>
      <c r="B27" s="13" t="s">
        <v>220</v>
      </c>
      <c r="C27" s="30" t="s">
        <v>219</v>
      </c>
      <c r="D27" s="230" t="s">
        <v>535</v>
      </c>
      <c r="E27" s="14">
        <f>I28-E12-E14-E15-E21</f>
        <v>50564000</v>
      </c>
      <c r="F27" s="30"/>
      <c r="G27" s="15">
        <f t="shared" si="0"/>
        <v>50564000</v>
      </c>
      <c r="I27" s="15">
        <f>I28-50564000</f>
        <v>999436000</v>
      </c>
      <c r="J27" s="11"/>
      <c r="K27" s="11"/>
    </row>
    <row r="28" spans="1:11" ht="15.75">
      <c r="A28" s="27" t="s">
        <v>218</v>
      </c>
      <c r="B28" s="9" t="s">
        <v>497</v>
      </c>
      <c r="C28" s="31" t="s">
        <v>217</v>
      </c>
      <c r="D28" s="231" t="s">
        <v>498</v>
      </c>
      <c r="E28" s="10">
        <f>ROUND(E12+E14+E15+E21+E26,-4)</f>
        <v>1050000000</v>
      </c>
      <c r="F28" s="31"/>
      <c r="G28" s="11">
        <f t="shared" si="0"/>
        <v>1050000000</v>
      </c>
      <c r="I28" s="11">
        <v>1050000000</v>
      </c>
      <c r="J28" s="11"/>
      <c r="K28" s="11"/>
    </row>
    <row r="29" spans="1:7" ht="15.75" thickBot="1">
      <c r="A29" s="28" t="s">
        <v>0</v>
      </c>
      <c r="B29" s="17" t="s">
        <v>0</v>
      </c>
      <c r="C29" s="32" t="s">
        <v>0</v>
      </c>
      <c r="D29" s="17" t="s">
        <v>0</v>
      </c>
      <c r="E29" s="18"/>
      <c r="F29" s="32">
        <v>0</v>
      </c>
      <c r="G29" s="19">
        <f t="shared" si="0"/>
        <v>0</v>
      </c>
    </row>
    <row r="31" spans="4:7" ht="15">
      <c r="D31" s="238"/>
      <c r="E31" s="238"/>
      <c r="F31" s="238"/>
      <c r="G31" s="238"/>
    </row>
    <row r="32" spans="4:7" ht="15.75">
      <c r="D32" s="239"/>
      <c r="E32" s="239"/>
      <c r="F32" s="239"/>
      <c r="G32" s="239"/>
    </row>
    <row r="33" spans="4:7" ht="15.75">
      <c r="D33" s="239"/>
      <c r="E33" s="239"/>
      <c r="F33" s="239"/>
      <c r="G33" s="239"/>
    </row>
  </sheetData>
  <sheetProtection/>
  <mergeCells count="10">
    <mergeCell ref="A9:G9"/>
    <mergeCell ref="D31:G31"/>
    <mergeCell ref="D32:G32"/>
    <mergeCell ref="D33:G33"/>
    <mergeCell ref="A1:G1"/>
    <mergeCell ref="A2:G2"/>
    <mergeCell ref="A3:G3"/>
    <mergeCell ref="A5:G5"/>
    <mergeCell ref="A7:G7"/>
    <mergeCell ref="A8:G8"/>
  </mergeCells>
  <printOptions horizontalCentered="1"/>
  <pageMargins left="0.5" right="0.5" top="0.75" bottom="0.5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9"/>
  <sheetViews>
    <sheetView showZeros="0" zoomScalePageLayoutView="0" workbookViewId="0" topLeftCell="A7">
      <selection activeCell="D41" sqref="D41"/>
    </sheetView>
  </sheetViews>
  <sheetFormatPr defaultColWidth="8.796875" defaultRowHeight="15"/>
  <cols>
    <col min="1" max="1" width="4.59765625" style="24" customWidth="1"/>
    <col min="2" max="2" width="35.59765625" style="6" bestFit="1" customWidth="1"/>
    <col min="3" max="3" width="5.5" style="24" customWidth="1"/>
    <col min="4" max="4" width="18.69921875" style="6" customWidth="1"/>
    <col min="5" max="5" width="16.3984375" style="7" customWidth="1"/>
    <col min="6" max="16384" width="9" style="6" customWidth="1"/>
  </cols>
  <sheetData>
    <row r="1" spans="1:5" ht="21">
      <c r="A1" s="243" t="s">
        <v>431</v>
      </c>
      <c r="B1" s="243"/>
      <c r="C1" s="243"/>
      <c r="D1" s="243"/>
      <c r="E1" s="243"/>
    </row>
    <row r="2" spans="1:5" ht="15.75">
      <c r="A2" s="33"/>
      <c r="B2" s="2"/>
      <c r="C2" s="33"/>
      <c r="D2" s="2"/>
      <c r="E2" s="4"/>
    </row>
    <row r="3" spans="1:5" s="39" customFormat="1" ht="16.5">
      <c r="A3" s="242" t="s">
        <v>423</v>
      </c>
      <c r="B3" s="242"/>
      <c r="C3" s="242"/>
      <c r="D3" s="242"/>
      <c r="E3" s="242"/>
    </row>
    <row r="4" spans="1:5" s="39" customFormat="1" ht="16.5">
      <c r="A4" s="242" t="s">
        <v>424</v>
      </c>
      <c r="B4" s="242"/>
      <c r="C4" s="242"/>
      <c r="D4" s="242"/>
      <c r="E4" s="242"/>
    </row>
    <row r="5" spans="1:5" s="39" customFormat="1" ht="16.5">
      <c r="A5" s="242"/>
      <c r="B5" s="242"/>
      <c r="C5" s="242"/>
      <c r="D5" s="242"/>
      <c r="E5" s="242"/>
    </row>
    <row r="6" spans="1:5" ht="16.5" thickBot="1">
      <c r="A6" s="33"/>
      <c r="B6" s="2"/>
      <c r="C6" s="33"/>
      <c r="D6" s="2"/>
      <c r="E6" s="4"/>
    </row>
    <row r="7" spans="1:5" ht="36" customHeight="1">
      <c r="A7" s="34" t="s">
        <v>276</v>
      </c>
      <c r="B7" s="35" t="s">
        <v>425</v>
      </c>
      <c r="C7" s="36" t="s">
        <v>426</v>
      </c>
      <c r="D7" s="35" t="s">
        <v>427</v>
      </c>
      <c r="E7" s="40" t="s">
        <v>432</v>
      </c>
    </row>
    <row r="8" spans="1:5" ht="15.75">
      <c r="A8" s="25" t="s">
        <v>300</v>
      </c>
      <c r="B8" s="21" t="s">
        <v>1</v>
      </c>
      <c r="C8" s="29" t="s">
        <v>0</v>
      </c>
      <c r="D8" s="21" t="s">
        <v>0</v>
      </c>
      <c r="E8" s="23"/>
    </row>
    <row r="9" spans="1:5" ht="15">
      <c r="A9" s="26" t="s">
        <v>0</v>
      </c>
      <c r="B9" s="13" t="s">
        <v>298</v>
      </c>
      <c r="C9" s="30" t="s">
        <v>297</v>
      </c>
      <c r="D9" s="13" t="s">
        <v>296</v>
      </c>
      <c r="E9" s="15">
        <f>E10+E11+E12</f>
        <v>697708417.547078</v>
      </c>
    </row>
    <row r="10" spans="1:5" ht="15">
      <c r="A10" s="26" t="s">
        <v>0</v>
      </c>
      <c r="B10" s="13" t="s">
        <v>295</v>
      </c>
      <c r="C10" s="30" t="s">
        <v>294</v>
      </c>
      <c r="D10" s="13" t="s">
        <v>293</v>
      </c>
      <c r="E10" s="15">
        <f>'Du toan chi tiet'!I9</f>
        <v>611828583.579808</v>
      </c>
    </row>
    <row r="11" spans="1:5" ht="15">
      <c r="A11" s="26" t="s">
        <v>0</v>
      </c>
      <c r="B11" s="13" t="s">
        <v>292</v>
      </c>
      <c r="C11" s="30" t="s">
        <v>291</v>
      </c>
      <c r="D11" s="13" t="s">
        <v>290</v>
      </c>
      <c r="E11" s="15">
        <f>'Du toan chi tiet'!J9</f>
        <v>53624698.0977056</v>
      </c>
    </row>
    <row r="12" spans="1:5" ht="15">
      <c r="A12" s="26" t="s">
        <v>0</v>
      </c>
      <c r="B12" s="13" t="s">
        <v>289</v>
      </c>
      <c r="C12" s="30" t="s">
        <v>288</v>
      </c>
      <c r="D12" s="13" t="s">
        <v>287</v>
      </c>
      <c r="E12" s="15">
        <f>'Du toan chi tiet'!K9</f>
        <v>32255135.869564395</v>
      </c>
    </row>
    <row r="13" spans="1:5" ht="15">
      <c r="A13" s="26" t="s">
        <v>0</v>
      </c>
      <c r="B13" s="13" t="s">
        <v>286</v>
      </c>
      <c r="C13" s="30" t="s">
        <v>285</v>
      </c>
      <c r="D13" s="13" t="s">
        <v>284</v>
      </c>
      <c r="E13" s="15">
        <f>E14+E15+E16</f>
        <v>67677716.50206657</v>
      </c>
    </row>
    <row r="14" spans="1:5" ht="15">
      <c r="A14" s="26" t="s">
        <v>0</v>
      </c>
      <c r="B14" s="13" t="s">
        <v>283</v>
      </c>
      <c r="C14" s="30" t="s">
        <v>282</v>
      </c>
      <c r="D14" s="13" t="s">
        <v>281</v>
      </c>
      <c r="E14" s="15">
        <f>E9*5.5/100</f>
        <v>38373962.96508929</v>
      </c>
    </row>
    <row r="15" spans="1:5" ht="15">
      <c r="A15" s="26" t="s">
        <v>0</v>
      </c>
      <c r="B15" s="13" t="s">
        <v>280</v>
      </c>
      <c r="C15" s="30" t="s">
        <v>279</v>
      </c>
      <c r="D15" s="13" t="s">
        <v>278</v>
      </c>
      <c r="E15" s="15">
        <f>E9*2.2/100</f>
        <v>15349585.186035717</v>
      </c>
    </row>
    <row r="16" spans="1:5" ht="15">
      <c r="A16" s="26" t="s">
        <v>0</v>
      </c>
      <c r="B16" s="13" t="s">
        <v>277</v>
      </c>
      <c r="C16" s="30" t="s">
        <v>276</v>
      </c>
      <c r="D16" s="13" t="s">
        <v>275</v>
      </c>
      <c r="E16" s="15">
        <f>E9*2/100</f>
        <v>13954168.350941561</v>
      </c>
    </row>
    <row r="17" spans="1:5" ht="15">
      <c r="A17" s="26" t="s">
        <v>0</v>
      </c>
      <c r="B17" s="13" t="s">
        <v>274</v>
      </c>
      <c r="C17" s="30" t="s">
        <v>273</v>
      </c>
      <c r="D17" s="13" t="s">
        <v>272</v>
      </c>
      <c r="E17" s="15">
        <f>(E9+E13)*5.5/100</f>
        <v>42096237.372702956</v>
      </c>
    </row>
    <row r="18" spans="1:5" ht="15.75">
      <c r="A18" s="27" t="s">
        <v>271</v>
      </c>
      <c r="B18" s="9" t="s">
        <v>270</v>
      </c>
      <c r="C18" s="31" t="s">
        <v>217</v>
      </c>
      <c r="D18" s="9" t="s">
        <v>269</v>
      </c>
      <c r="E18" s="11">
        <f>E9+E13+E17</f>
        <v>807482371.4218476</v>
      </c>
    </row>
    <row r="19" spans="1:5" ht="15">
      <c r="A19" s="26" t="s">
        <v>0</v>
      </c>
      <c r="B19" s="13" t="s">
        <v>268</v>
      </c>
      <c r="C19" s="30" t="s">
        <v>267</v>
      </c>
      <c r="D19" s="13" t="s">
        <v>266</v>
      </c>
      <c r="E19" s="15">
        <f>E18*8/100</f>
        <v>64598589.71374781</v>
      </c>
    </row>
    <row r="20" spans="1:5" ht="15.75">
      <c r="A20" s="27" t="s">
        <v>265</v>
      </c>
      <c r="B20" s="9" t="s">
        <v>264</v>
      </c>
      <c r="C20" s="31" t="s">
        <v>263</v>
      </c>
      <c r="D20" s="9" t="s">
        <v>262</v>
      </c>
      <c r="E20" s="11">
        <f>E18+E19</f>
        <v>872080961.1355954</v>
      </c>
    </row>
    <row r="21" spans="1:5" ht="15">
      <c r="A21" s="26" t="s">
        <v>0</v>
      </c>
      <c r="B21" s="13" t="s">
        <v>0</v>
      </c>
      <c r="C21" s="30" t="s">
        <v>0</v>
      </c>
      <c r="D21" s="13" t="s">
        <v>0</v>
      </c>
      <c r="E21" s="15"/>
    </row>
    <row r="22" spans="1:5" ht="15.75" hidden="1">
      <c r="A22" s="27" t="s">
        <v>299</v>
      </c>
      <c r="B22" s="9" t="s">
        <v>170</v>
      </c>
      <c r="C22" s="31" t="s">
        <v>0</v>
      </c>
      <c r="D22" s="9" t="s">
        <v>0</v>
      </c>
      <c r="E22" s="11"/>
    </row>
    <row r="23" spans="1:5" ht="15" hidden="1">
      <c r="A23" s="26" t="s">
        <v>0</v>
      </c>
      <c r="B23" s="13" t="s">
        <v>298</v>
      </c>
      <c r="C23" s="30" t="s">
        <v>297</v>
      </c>
      <c r="D23" s="13" t="s">
        <v>296</v>
      </c>
      <c r="E23" s="15" t="e">
        <f>E24+E25+E26</f>
        <v>#REF!</v>
      </c>
    </row>
    <row r="24" spans="1:5" ht="15" hidden="1">
      <c r="A24" s="26" t="s">
        <v>0</v>
      </c>
      <c r="B24" s="13" t="s">
        <v>295</v>
      </c>
      <c r="C24" s="30" t="s">
        <v>294</v>
      </c>
      <c r="D24" s="13" t="s">
        <v>293</v>
      </c>
      <c r="E24" s="15" t="e">
        <f>'Du toan chi tiet'!#REF!</f>
        <v>#REF!</v>
      </c>
    </row>
    <row r="25" spans="1:5" ht="15" hidden="1">
      <c r="A25" s="26" t="s">
        <v>0</v>
      </c>
      <c r="B25" s="13" t="s">
        <v>292</v>
      </c>
      <c r="C25" s="30" t="s">
        <v>291</v>
      </c>
      <c r="D25" s="13" t="s">
        <v>290</v>
      </c>
      <c r="E25" s="15" t="e">
        <f>'Du toan chi tiet'!#REF!</f>
        <v>#REF!</v>
      </c>
    </row>
    <row r="26" spans="1:5" ht="15" hidden="1">
      <c r="A26" s="26" t="s">
        <v>0</v>
      </c>
      <c r="B26" s="13" t="s">
        <v>289</v>
      </c>
      <c r="C26" s="30" t="s">
        <v>288</v>
      </c>
      <c r="D26" s="13" t="s">
        <v>287</v>
      </c>
      <c r="E26" s="15" t="e">
        <f>'Du toan chi tiet'!#REF!</f>
        <v>#REF!</v>
      </c>
    </row>
    <row r="27" spans="1:5" ht="15" hidden="1">
      <c r="A27" s="26" t="s">
        <v>0</v>
      </c>
      <c r="B27" s="13" t="s">
        <v>286</v>
      </c>
      <c r="C27" s="30" t="s">
        <v>285</v>
      </c>
      <c r="D27" s="13" t="s">
        <v>284</v>
      </c>
      <c r="E27" s="15" t="e">
        <f>E28+E29+E30</f>
        <v>#REF!</v>
      </c>
    </row>
    <row r="28" spans="1:5" ht="15" hidden="1">
      <c r="A28" s="26" t="s">
        <v>0</v>
      </c>
      <c r="B28" s="13" t="s">
        <v>283</v>
      </c>
      <c r="C28" s="30" t="s">
        <v>282</v>
      </c>
      <c r="D28" s="13" t="s">
        <v>281</v>
      </c>
      <c r="E28" s="15" t="e">
        <f>E23*5.5/100</f>
        <v>#REF!</v>
      </c>
    </row>
    <row r="29" spans="1:5" ht="15" hidden="1">
      <c r="A29" s="26" t="s">
        <v>0</v>
      </c>
      <c r="B29" s="13" t="s">
        <v>280</v>
      </c>
      <c r="C29" s="30" t="s">
        <v>279</v>
      </c>
      <c r="D29" s="13" t="s">
        <v>278</v>
      </c>
      <c r="E29" s="15" t="e">
        <f>E23*2.2/100</f>
        <v>#REF!</v>
      </c>
    </row>
    <row r="30" spans="1:5" ht="15" hidden="1">
      <c r="A30" s="26" t="s">
        <v>0</v>
      </c>
      <c r="B30" s="13" t="s">
        <v>277</v>
      </c>
      <c r="C30" s="30" t="s">
        <v>276</v>
      </c>
      <c r="D30" s="13" t="s">
        <v>275</v>
      </c>
      <c r="E30" s="15" t="e">
        <f>E23*2/100</f>
        <v>#REF!</v>
      </c>
    </row>
    <row r="31" spans="1:5" ht="15" hidden="1">
      <c r="A31" s="26" t="s">
        <v>0</v>
      </c>
      <c r="B31" s="13" t="s">
        <v>274</v>
      </c>
      <c r="C31" s="30" t="s">
        <v>273</v>
      </c>
      <c r="D31" s="13" t="s">
        <v>272</v>
      </c>
      <c r="E31" s="15" t="e">
        <f>(E23+E27)*5.5/100</f>
        <v>#REF!</v>
      </c>
    </row>
    <row r="32" spans="1:5" ht="15.75" hidden="1">
      <c r="A32" s="27" t="s">
        <v>271</v>
      </c>
      <c r="B32" s="9" t="s">
        <v>270</v>
      </c>
      <c r="C32" s="31" t="s">
        <v>217</v>
      </c>
      <c r="D32" s="9" t="s">
        <v>269</v>
      </c>
      <c r="E32" s="11" t="e">
        <f>E23+E27+E31</f>
        <v>#REF!</v>
      </c>
    </row>
    <row r="33" spans="1:5" ht="15" hidden="1">
      <c r="A33" s="26" t="s">
        <v>0</v>
      </c>
      <c r="B33" s="13" t="s">
        <v>268</v>
      </c>
      <c r="C33" s="30" t="s">
        <v>267</v>
      </c>
      <c r="D33" s="13" t="s">
        <v>266</v>
      </c>
      <c r="E33" s="15" t="e">
        <f>E32*8/100</f>
        <v>#REF!</v>
      </c>
    </row>
    <row r="34" spans="1:5" ht="15.75" hidden="1">
      <c r="A34" s="27" t="s">
        <v>265</v>
      </c>
      <c r="B34" s="9" t="s">
        <v>264</v>
      </c>
      <c r="C34" s="31" t="s">
        <v>263</v>
      </c>
      <c r="D34" s="9" t="s">
        <v>262</v>
      </c>
      <c r="E34" s="11" t="e">
        <f>E32+E33</f>
        <v>#REF!</v>
      </c>
    </row>
    <row r="35" spans="1:5" ht="15.75" thickBot="1">
      <c r="A35" s="28" t="s">
        <v>0</v>
      </c>
      <c r="B35" s="17" t="s">
        <v>0</v>
      </c>
      <c r="C35" s="32" t="s">
        <v>0</v>
      </c>
      <c r="D35" s="17" t="s">
        <v>0</v>
      </c>
      <c r="E35" s="19"/>
    </row>
    <row r="37" spans="4:5" ht="15">
      <c r="D37" s="238"/>
      <c r="E37" s="238"/>
    </row>
    <row r="38" spans="4:5" ht="15.75">
      <c r="D38" s="239"/>
      <c r="E38" s="239"/>
    </row>
    <row r="39" spans="4:5" ht="15.75">
      <c r="D39" s="239"/>
      <c r="E39" s="239"/>
    </row>
  </sheetData>
  <sheetProtection/>
  <mergeCells count="7">
    <mergeCell ref="D39:E39"/>
    <mergeCell ref="A1:E1"/>
    <mergeCell ref="A3:E3"/>
    <mergeCell ref="A4:E4"/>
    <mergeCell ref="A5:E5"/>
    <mergeCell ref="D37:E37"/>
    <mergeCell ref="D38:E38"/>
  </mergeCells>
  <printOptions horizontalCentered="1"/>
  <pageMargins left="0.5" right="0.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70"/>
  <sheetViews>
    <sheetView showZeros="0" zoomScalePageLayoutView="0" workbookViewId="0" topLeftCell="A28">
      <selection activeCell="F46" sqref="F46"/>
    </sheetView>
  </sheetViews>
  <sheetFormatPr defaultColWidth="8.796875" defaultRowHeight="15"/>
  <cols>
    <col min="1" max="1" width="3.3984375" style="41" customWidth="1"/>
    <col min="2" max="2" width="8.8984375" style="41" customWidth="1"/>
    <col min="3" max="3" width="36.19921875" style="41" bestFit="1" customWidth="1"/>
    <col min="4" max="4" width="4.8984375" style="41" customWidth="1"/>
    <col min="5" max="5" width="9.69921875" style="64" customWidth="1"/>
    <col min="6" max="6" width="11.19921875" style="42" customWidth="1"/>
    <col min="7" max="7" width="10" style="42" customWidth="1"/>
    <col min="8" max="8" width="10.09765625" style="42" customWidth="1"/>
    <col min="9" max="9" width="12.59765625" style="43" customWidth="1"/>
    <col min="10" max="10" width="11.69921875" style="43" customWidth="1"/>
    <col min="11" max="11" width="12" style="43" customWidth="1"/>
    <col min="12" max="16384" width="9" style="41" customWidth="1"/>
  </cols>
  <sheetData>
    <row r="1" spans="1:11" ht="21" customHeight="1">
      <c r="A1" s="243" t="s">
        <v>433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</row>
    <row r="2" spans="1:11" ht="14.25">
      <c r="A2" s="44"/>
      <c r="B2" s="44"/>
      <c r="C2" s="44"/>
      <c r="D2" s="44"/>
      <c r="E2" s="68"/>
      <c r="F2" s="45"/>
      <c r="G2" s="45"/>
      <c r="H2" s="45"/>
      <c r="I2" s="46"/>
      <c r="J2" s="46"/>
      <c r="K2" s="46"/>
    </row>
    <row r="3" spans="1:11" s="39" customFormat="1" ht="16.5" customHeight="1">
      <c r="A3" s="242" t="s">
        <v>423</v>
      </c>
      <c r="B3" s="242"/>
      <c r="C3" s="242"/>
      <c r="D3" s="242"/>
      <c r="E3" s="242"/>
      <c r="F3" s="242"/>
      <c r="G3" s="242"/>
      <c r="H3" s="242"/>
      <c r="I3" s="242"/>
      <c r="J3" s="242"/>
      <c r="K3" s="242"/>
    </row>
    <row r="4" spans="1:11" s="39" customFormat="1" ht="16.5" customHeight="1">
      <c r="A4" s="242" t="s">
        <v>424</v>
      </c>
      <c r="B4" s="242"/>
      <c r="C4" s="242"/>
      <c r="D4" s="242"/>
      <c r="E4" s="242"/>
      <c r="F4" s="242"/>
      <c r="G4" s="242"/>
      <c r="H4" s="242"/>
      <c r="I4" s="242"/>
      <c r="J4" s="242"/>
      <c r="K4" s="242"/>
    </row>
    <row r="5" spans="1:11" s="39" customFormat="1" ht="16.5" customHeight="1">
      <c r="A5" s="242"/>
      <c r="B5" s="242"/>
      <c r="C5" s="242"/>
      <c r="D5" s="242"/>
      <c r="E5" s="242"/>
      <c r="F5" s="242"/>
      <c r="G5" s="242"/>
      <c r="H5" s="242"/>
      <c r="I5" s="242"/>
      <c r="J5" s="242"/>
      <c r="K5" s="242"/>
    </row>
    <row r="6" spans="1:11" ht="15" thickBot="1">
      <c r="A6" s="44"/>
      <c r="B6" s="44"/>
      <c r="C6" s="44"/>
      <c r="D6" s="44"/>
      <c r="E6" s="68"/>
      <c r="F6" s="45"/>
      <c r="G6" s="45"/>
      <c r="H6" s="45"/>
      <c r="I6" s="46"/>
      <c r="J6" s="46"/>
      <c r="K6" s="46"/>
    </row>
    <row r="7" spans="1:11" ht="22.5" customHeight="1">
      <c r="A7" s="253" t="s">
        <v>276</v>
      </c>
      <c r="B7" s="246" t="s">
        <v>435</v>
      </c>
      <c r="C7" s="244" t="s">
        <v>436</v>
      </c>
      <c r="D7" s="246" t="s">
        <v>437</v>
      </c>
      <c r="E7" s="247" t="s">
        <v>438</v>
      </c>
      <c r="F7" s="248" t="s">
        <v>434</v>
      </c>
      <c r="G7" s="249"/>
      <c r="H7" s="250"/>
      <c r="I7" s="251" t="s">
        <v>432</v>
      </c>
      <c r="J7" s="249"/>
      <c r="K7" s="252"/>
    </row>
    <row r="8" spans="1:11" ht="22.5" customHeight="1">
      <c r="A8" s="254"/>
      <c r="B8" s="245"/>
      <c r="C8" s="245"/>
      <c r="D8" s="245"/>
      <c r="E8" s="245"/>
      <c r="F8" s="69" t="s">
        <v>439</v>
      </c>
      <c r="G8" s="69" t="s">
        <v>440</v>
      </c>
      <c r="H8" s="69" t="s">
        <v>441</v>
      </c>
      <c r="I8" s="70" t="s">
        <v>439</v>
      </c>
      <c r="J8" s="70" t="s">
        <v>440</v>
      </c>
      <c r="K8" s="71" t="s">
        <v>442</v>
      </c>
    </row>
    <row r="9" spans="1:11" ht="14.25">
      <c r="A9" s="59" t="s">
        <v>2</v>
      </c>
      <c r="B9" s="60" t="s">
        <v>0</v>
      </c>
      <c r="C9" s="60" t="s">
        <v>1</v>
      </c>
      <c r="D9" s="60" t="s">
        <v>0</v>
      </c>
      <c r="E9" s="65"/>
      <c r="F9" s="61"/>
      <c r="G9" s="61"/>
      <c r="H9" s="61"/>
      <c r="I9" s="62">
        <f>SUM(I10:I69)</f>
        <v>611828583.579808</v>
      </c>
      <c r="J9" s="62">
        <f>SUM(J10:J69)</f>
        <v>53624698.0977056</v>
      </c>
      <c r="K9" s="63">
        <f>SUM(K10:K69)</f>
        <v>32255135.869564395</v>
      </c>
    </row>
    <row r="10" spans="1:11" ht="14.25">
      <c r="A10" s="49" t="s">
        <v>2</v>
      </c>
      <c r="B10" s="50" t="s">
        <v>3</v>
      </c>
      <c r="C10" s="50" t="s">
        <v>4</v>
      </c>
      <c r="D10" s="50" t="s">
        <v>5</v>
      </c>
      <c r="E10" s="66">
        <f>222.56</f>
        <v>222.56</v>
      </c>
      <c r="F10" s="51"/>
      <c r="G10" s="51">
        <f>'Phan tich don gia'!G10</f>
        <v>10075.57912</v>
      </c>
      <c r="H10" s="51">
        <f>'Phan tich don gia'!G12</f>
        <v>16022.14134</v>
      </c>
      <c r="I10" s="52">
        <f>E10*F10</f>
        <v>0</v>
      </c>
      <c r="J10" s="52">
        <f>E10*G10</f>
        <v>2242420.8889472</v>
      </c>
      <c r="K10" s="53">
        <f>E10*H10</f>
        <v>3565887.7766304</v>
      </c>
    </row>
    <row r="11" spans="1:11" ht="14.25">
      <c r="A11" s="49" t="s">
        <v>0</v>
      </c>
      <c r="B11" s="50" t="s">
        <v>0</v>
      </c>
      <c r="C11" s="50" t="s">
        <v>318</v>
      </c>
      <c r="D11" s="50" t="s">
        <v>0</v>
      </c>
      <c r="E11" s="66"/>
      <c r="F11" s="51"/>
      <c r="G11" s="51"/>
      <c r="H11" s="51"/>
      <c r="I11" s="52"/>
      <c r="J11" s="52"/>
      <c r="K11" s="53"/>
    </row>
    <row r="12" spans="1:11" ht="14.25">
      <c r="A12" s="49" t="s">
        <v>11</v>
      </c>
      <c r="B12" s="50" t="s">
        <v>12</v>
      </c>
      <c r="C12" s="50" t="s">
        <v>13</v>
      </c>
      <c r="D12" s="50" t="s">
        <v>5</v>
      </c>
      <c r="E12" s="66">
        <f>16.2</f>
        <v>16.2</v>
      </c>
      <c r="F12" s="51"/>
      <c r="G12" s="51">
        <f>'Phan tich don gia'!G17</f>
        <v>354065.904</v>
      </c>
      <c r="H12" s="51"/>
      <c r="I12" s="52">
        <f>E12*F12</f>
        <v>0</v>
      </c>
      <c r="J12" s="52">
        <f>E12*G12</f>
        <v>5735867.6448</v>
      </c>
      <c r="K12" s="53">
        <f>E12*H12</f>
        <v>0</v>
      </c>
    </row>
    <row r="13" spans="1:11" ht="14.25">
      <c r="A13" s="49" t="s">
        <v>0</v>
      </c>
      <c r="B13" s="50" t="s">
        <v>0</v>
      </c>
      <c r="C13" s="50" t="s">
        <v>317</v>
      </c>
      <c r="D13" s="50" t="s">
        <v>0</v>
      </c>
      <c r="E13" s="66"/>
      <c r="F13" s="51"/>
      <c r="G13" s="51"/>
      <c r="H13" s="51"/>
      <c r="I13" s="52"/>
      <c r="J13" s="52"/>
      <c r="K13" s="53"/>
    </row>
    <row r="14" spans="1:11" ht="14.25">
      <c r="A14" s="49" t="s">
        <v>14</v>
      </c>
      <c r="B14" s="50" t="s">
        <v>15</v>
      </c>
      <c r="C14" s="50" t="s">
        <v>16</v>
      </c>
      <c r="D14" s="50" t="s">
        <v>5</v>
      </c>
      <c r="E14" s="66">
        <f>4.8</f>
        <v>4.8</v>
      </c>
      <c r="F14" s="51">
        <f>'Phan tich don gia'!G22</f>
        <v>787885.44467</v>
      </c>
      <c r="G14" s="51">
        <f>'Phan tich don gia'!G27</f>
        <v>246774.421</v>
      </c>
      <c r="H14" s="51">
        <f>'Phan tich don gia'!G29</f>
        <v>54409.0095</v>
      </c>
      <c r="I14" s="52">
        <f>E14*F14</f>
        <v>3781850.134416</v>
      </c>
      <c r="J14" s="52">
        <f>E14*G14</f>
        <v>1184517.2208</v>
      </c>
      <c r="K14" s="53">
        <f>E14*H14</f>
        <v>261163.2456</v>
      </c>
    </row>
    <row r="15" spans="1:11" ht="14.25">
      <c r="A15" s="49" t="s">
        <v>0</v>
      </c>
      <c r="B15" s="50" t="s">
        <v>0</v>
      </c>
      <c r="C15" s="50" t="s">
        <v>316</v>
      </c>
      <c r="D15" s="50" t="s">
        <v>0</v>
      </c>
      <c r="E15" s="66"/>
      <c r="F15" s="51"/>
      <c r="G15" s="51"/>
      <c r="H15" s="51"/>
      <c r="I15" s="52"/>
      <c r="J15" s="52"/>
      <c r="K15" s="53"/>
    </row>
    <row r="16" spans="1:11" ht="14.25">
      <c r="A16" s="49" t="s">
        <v>27</v>
      </c>
      <c r="B16" s="50" t="s">
        <v>28</v>
      </c>
      <c r="C16" s="50" t="s">
        <v>29</v>
      </c>
      <c r="D16" s="50" t="s">
        <v>5</v>
      </c>
      <c r="E16" s="66">
        <f>22.72</f>
        <v>22.72</v>
      </c>
      <c r="F16" s="51">
        <f>'Phan tich don gia'!G35</f>
        <v>871678.47775</v>
      </c>
      <c r="G16" s="51">
        <f>'Phan tich don gia'!G41</f>
        <v>283675.269</v>
      </c>
      <c r="H16" s="51">
        <f>'Phan tich don gia'!G43</f>
        <v>54756.7503</v>
      </c>
      <c r="I16" s="52">
        <f>E16*F16</f>
        <v>19804535.01448</v>
      </c>
      <c r="J16" s="52">
        <f>E16*G16</f>
        <v>6445102.111679999</v>
      </c>
      <c r="K16" s="53">
        <f>E16*H16</f>
        <v>1244073.3668159998</v>
      </c>
    </row>
    <row r="17" spans="1:11" ht="14.25">
      <c r="A17" s="49" t="s">
        <v>0</v>
      </c>
      <c r="B17" s="50" t="s">
        <v>0</v>
      </c>
      <c r="C17" s="50" t="s">
        <v>315</v>
      </c>
      <c r="D17" s="50" t="s">
        <v>0</v>
      </c>
      <c r="E17" s="66"/>
      <c r="F17" s="51"/>
      <c r="G17" s="51"/>
      <c r="H17" s="51"/>
      <c r="I17" s="52"/>
      <c r="J17" s="52"/>
      <c r="K17" s="53"/>
    </row>
    <row r="18" spans="1:11" ht="14.25">
      <c r="A18" s="49" t="s">
        <v>34</v>
      </c>
      <c r="B18" s="50" t="s">
        <v>35</v>
      </c>
      <c r="C18" s="50" t="s">
        <v>36</v>
      </c>
      <c r="D18" s="50" t="s">
        <v>5</v>
      </c>
      <c r="E18" s="66">
        <f>2.56</f>
        <v>2.56</v>
      </c>
      <c r="F18" s="51">
        <f>'Phan tich don gia'!G49</f>
        <v>960978.64432</v>
      </c>
      <c r="G18" s="51">
        <f>'Phan tich don gia'!G55</f>
        <v>283675.269</v>
      </c>
      <c r="H18" s="51">
        <f>'Phan tich don gia'!G57</f>
        <v>54756.7503</v>
      </c>
      <c r="I18" s="52">
        <f>E18*F18</f>
        <v>2460105.3294592</v>
      </c>
      <c r="J18" s="52">
        <f>E18*G18</f>
        <v>726208.68864</v>
      </c>
      <c r="K18" s="53">
        <f>E18*H18</f>
        <v>140177.280768</v>
      </c>
    </row>
    <row r="19" spans="1:11" ht="14.25">
      <c r="A19" s="49" t="s">
        <v>0</v>
      </c>
      <c r="B19" s="50" t="s">
        <v>0</v>
      </c>
      <c r="C19" s="50" t="s">
        <v>314</v>
      </c>
      <c r="D19" s="50" t="s">
        <v>0</v>
      </c>
      <c r="E19" s="66"/>
      <c r="F19" s="51"/>
      <c r="G19" s="51"/>
      <c r="H19" s="51"/>
      <c r="I19" s="52"/>
      <c r="J19" s="52"/>
      <c r="K19" s="53"/>
    </row>
    <row r="20" spans="1:11" ht="14.25">
      <c r="A20" s="49" t="s">
        <v>39</v>
      </c>
      <c r="B20" s="50" t="s">
        <v>40</v>
      </c>
      <c r="C20" s="50" t="s">
        <v>41</v>
      </c>
      <c r="D20" s="50" t="s">
        <v>42</v>
      </c>
      <c r="E20" s="66">
        <f>105.12</f>
        <v>105.12</v>
      </c>
      <c r="F20" s="51">
        <f>'Phan tich don gia'!G62</f>
        <v>57802.07044</v>
      </c>
      <c r="G20" s="51">
        <f>'Phan tich don gia'!G68</f>
        <v>74903.4</v>
      </c>
      <c r="H20" s="51"/>
      <c r="I20" s="52">
        <f>E20*F20</f>
        <v>6076153.644652801</v>
      </c>
      <c r="J20" s="52">
        <f>E20*G20</f>
        <v>7873845.408</v>
      </c>
      <c r="K20" s="53">
        <f>E20*H20</f>
        <v>0</v>
      </c>
    </row>
    <row r="21" spans="1:11" ht="14.25">
      <c r="A21" s="49" t="s">
        <v>0</v>
      </c>
      <c r="B21" s="50" t="s">
        <v>0</v>
      </c>
      <c r="C21" s="50" t="s">
        <v>313</v>
      </c>
      <c r="D21" s="50" t="s">
        <v>0</v>
      </c>
      <c r="E21" s="66"/>
      <c r="F21" s="51"/>
      <c r="G21" s="51"/>
      <c r="H21" s="51"/>
      <c r="I21" s="52"/>
      <c r="J21" s="52"/>
      <c r="K21" s="53"/>
    </row>
    <row r="22" spans="1:11" ht="14.25">
      <c r="A22" s="49" t="s">
        <v>48</v>
      </c>
      <c r="B22" s="50" t="s">
        <v>49</v>
      </c>
      <c r="C22" s="50" t="s">
        <v>50</v>
      </c>
      <c r="D22" s="50" t="s">
        <v>5</v>
      </c>
      <c r="E22" s="66">
        <f>208.68</f>
        <v>208.68</v>
      </c>
      <c r="F22" s="51"/>
      <c r="G22" s="51">
        <f>'Phan tich don gia'!G73</f>
        <v>11780.34088</v>
      </c>
      <c r="H22" s="51">
        <f>'Phan tich don gia'!G75</f>
        <v>12638.29375</v>
      </c>
      <c r="I22" s="52">
        <f>E22*F22</f>
        <v>0</v>
      </c>
      <c r="J22" s="52">
        <f>E22*G22</f>
        <v>2458321.5348384</v>
      </c>
      <c r="K22" s="53">
        <f>E22*H22</f>
        <v>2637359.13975</v>
      </c>
    </row>
    <row r="23" spans="1:11" ht="14.25">
      <c r="A23" s="49" t="s">
        <v>0</v>
      </c>
      <c r="B23" s="50" t="s">
        <v>0</v>
      </c>
      <c r="C23" s="50" t="s">
        <v>312</v>
      </c>
      <c r="D23" s="50" t="s">
        <v>0</v>
      </c>
      <c r="E23" s="66"/>
      <c r="F23" s="51"/>
      <c r="G23" s="51"/>
      <c r="H23" s="51"/>
      <c r="I23" s="52"/>
      <c r="J23" s="52"/>
      <c r="K23" s="53"/>
    </row>
    <row r="24" spans="1:11" ht="14.25">
      <c r="A24" s="49" t="s">
        <v>53</v>
      </c>
      <c r="B24" s="50" t="s">
        <v>54</v>
      </c>
      <c r="C24" s="50" t="s">
        <v>55</v>
      </c>
      <c r="D24" s="50" t="s">
        <v>56</v>
      </c>
      <c r="E24" s="66">
        <f>5</f>
        <v>5</v>
      </c>
      <c r="F24" s="51">
        <f>'Phan tich don gia'!G79</f>
        <v>2784000</v>
      </c>
      <c r="G24" s="51">
        <f>'Phan tich don gia'!G81</f>
        <v>411086</v>
      </c>
      <c r="H24" s="51">
        <f>'Phan tich don gia'!G83</f>
        <v>216825.93</v>
      </c>
      <c r="I24" s="52">
        <f>E24*F24</f>
        <v>13920000</v>
      </c>
      <c r="J24" s="52">
        <f>E24*G24</f>
        <v>2055430</v>
      </c>
      <c r="K24" s="53">
        <f>E24*H24</f>
        <v>1084129.65</v>
      </c>
    </row>
    <row r="25" spans="1:11" ht="14.25">
      <c r="A25" s="49" t="s">
        <v>0</v>
      </c>
      <c r="B25" s="50" t="s">
        <v>0</v>
      </c>
      <c r="C25" s="50" t="s">
        <v>307</v>
      </c>
      <c r="D25" s="50" t="s">
        <v>0</v>
      </c>
      <c r="E25" s="66"/>
      <c r="F25" s="51"/>
      <c r="G25" s="51"/>
      <c r="H25" s="51"/>
      <c r="I25" s="52"/>
      <c r="J25" s="52"/>
      <c r="K25" s="53"/>
    </row>
    <row r="26" spans="1:11" ht="14.25">
      <c r="A26" s="49" t="s">
        <v>60</v>
      </c>
      <c r="B26" s="50" t="s">
        <v>61</v>
      </c>
      <c r="C26" s="50" t="s">
        <v>62</v>
      </c>
      <c r="D26" s="50" t="s">
        <v>56</v>
      </c>
      <c r="E26" s="66">
        <f>3</f>
        <v>3</v>
      </c>
      <c r="F26" s="51">
        <f>'Phan tich don gia'!G87</f>
        <v>3420000</v>
      </c>
      <c r="G26" s="51">
        <f>'Phan tich don gia'!G89</f>
        <v>411086</v>
      </c>
      <c r="H26" s="51">
        <f>'Phan tich don gia'!G91</f>
        <v>216825.93</v>
      </c>
      <c r="I26" s="52">
        <f>E26*F26</f>
        <v>10260000</v>
      </c>
      <c r="J26" s="52">
        <f>E26*G26</f>
        <v>1233258</v>
      </c>
      <c r="K26" s="53">
        <f>E26*H26</f>
        <v>650477.79</v>
      </c>
    </row>
    <row r="27" spans="1:11" ht="14.25">
      <c r="A27" s="49" t="s">
        <v>0</v>
      </c>
      <c r="B27" s="50" t="s">
        <v>0</v>
      </c>
      <c r="C27" s="50" t="s">
        <v>304</v>
      </c>
      <c r="D27" s="50" t="s">
        <v>0</v>
      </c>
      <c r="E27" s="66"/>
      <c r="F27" s="51"/>
      <c r="G27" s="51"/>
      <c r="H27" s="51"/>
      <c r="I27" s="52"/>
      <c r="J27" s="52"/>
      <c r="K27" s="53"/>
    </row>
    <row r="28" spans="1:11" ht="14.25">
      <c r="A28" s="49" t="s">
        <v>64</v>
      </c>
      <c r="B28" s="50" t="s">
        <v>65</v>
      </c>
      <c r="C28" s="50" t="s">
        <v>66</v>
      </c>
      <c r="D28" s="50" t="s">
        <v>56</v>
      </c>
      <c r="E28" s="66">
        <f>22</f>
        <v>22</v>
      </c>
      <c r="F28" s="51">
        <f>'Phan tich don gia'!G95</f>
        <v>4416000</v>
      </c>
      <c r="G28" s="51">
        <f>'Phan tich don gia'!G97</f>
        <v>411086</v>
      </c>
      <c r="H28" s="51">
        <f>'Phan tich don gia'!G99</f>
        <v>216825.93</v>
      </c>
      <c r="I28" s="52">
        <f>E28*F28</f>
        <v>97152000</v>
      </c>
      <c r="J28" s="52">
        <f>E28*G28</f>
        <v>9043892</v>
      </c>
      <c r="K28" s="53">
        <f>E28*H28</f>
        <v>4770170.46</v>
      </c>
    </row>
    <row r="29" spans="1:11" ht="14.25">
      <c r="A29" s="49" t="s">
        <v>0</v>
      </c>
      <c r="B29" s="50" t="s">
        <v>0</v>
      </c>
      <c r="C29" s="50" t="s">
        <v>306</v>
      </c>
      <c r="D29" s="50" t="s">
        <v>0</v>
      </c>
      <c r="E29" s="66"/>
      <c r="F29" s="51"/>
      <c r="G29" s="51"/>
      <c r="H29" s="51"/>
      <c r="I29" s="52"/>
      <c r="J29" s="52"/>
      <c r="K29" s="53"/>
    </row>
    <row r="30" spans="1:11" ht="14.25">
      <c r="A30" s="49" t="s">
        <v>68</v>
      </c>
      <c r="B30" s="50" t="s">
        <v>69</v>
      </c>
      <c r="C30" s="50" t="s">
        <v>70</v>
      </c>
      <c r="D30" s="50" t="s">
        <v>56</v>
      </c>
      <c r="E30" s="66">
        <f>2</f>
        <v>2</v>
      </c>
      <c r="F30" s="51">
        <f>'Phan tich don gia'!G103</f>
        <v>4644000</v>
      </c>
      <c r="G30" s="51">
        <f>'Phan tich don gia'!G105</f>
        <v>411086</v>
      </c>
      <c r="H30" s="51">
        <f>'Phan tich don gia'!G107</f>
        <v>216825.93</v>
      </c>
      <c r="I30" s="52">
        <f>E30*F30</f>
        <v>9288000</v>
      </c>
      <c r="J30" s="52">
        <f>E30*G30</f>
        <v>822172</v>
      </c>
      <c r="K30" s="53">
        <f>E30*H30</f>
        <v>433651.86</v>
      </c>
    </row>
    <row r="31" spans="1:11" ht="14.25">
      <c r="A31" s="49" t="s">
        <v>0</v>
      </c>
      <c r="B31" s="50" t="s">
        <v>0</v>
      </c>
      <c r="C31" s="50" t="s">
        <v>305</v>
      </c>
      <c r="D31" s="50" t="s">
        <v>0</v>
      </c>
      <c r="E31" s="66"/>
      <c r="F31" s="51"/>
      <c r="G31" s="51"/>
      <c r="H31" s="51"/>
      <c r="I31" s="52"/>
      <c r="J31" s="52"/>
      <c r="K31" s="53"/>
    </row>
    <row r="32" spans="1:11" ht="14.25">
      <c r="A32" s="49" t="s">
        <v>72</v>
      </c>
      <c r="B32" s="50" t="s">
        <v>73</v>
      </c>
      <c r="C32" s="50" t="s">
        <v>74</v>
      </c>
      <c r="D32" s="50" t="s">
        <v>75</v>
      </c>
      <c r="E32" s="66">
        <f>14</f>
        <v>14</v>
      </c>
      <c r="F32" s="51">
        <f>'Phan tich don gia'!G111</f>
        <v>1455741</v>
      </c>
      <c r="G32" s="51">
        <f>'Phan tich don gia'!G114</f>
        <v>189150</v>
      </c>
      <c r="H32" s="51">
        <f>'Phan tich don gia'!G116</f>
        <v>257774.808</v>
      </c>
      <c r="I32" s="52">
        <f>E32*F32</f>
        <v>20380374</v>
      </c>
      <c r="J32" s="52">
        <f>E32*G32</f>
        <v>2648100</v>
      </c>
      <c r="K32" s="53">
        <f>E32*H32</f>
        <v>3608847.312</v>
      </c>
    </row>
    <row r="33" spans="1:11" ht="14.25">
      <c r="A33" s="49" t="s">
        <v>0</v>
      </c>
      <c r="B33" s="50" t="s">
        <v>0</v>
      </c>
      <c r="C33" s="50" t="s">
        <v>311</v>
      </c>
      <c r="D33" s="50" t="s">
        <v>0</v>
      </c>
      <c r="E33" s="66"/>
      <c r="F33" s="51"/>
      <c r="G33" s="51"/>
      <c r="H33" s="51"/>
      <c r="I33" s="52"/>
      <c r="J33" s="52"/>
      <c r="K33" s="53"/>
    </row>
    <row r="34" spans="1:11" ht="14.25">
      <c r="A34" s="49" t="s">
        <v>81</v>
      </c>
      <c r="B34" s="50" t="s">
        <v>82</v>
      </c>
      <c r="C34" s="50" t="s">
        <v>83</v>
      </c>
      <c r="D34" s="50" t="s">
        <v>75</v>
      </c>
      <c r="E34" s="66">
        <f>22</f>
        <v>22</v>
      </c>
      <c r="F34" s="51">
        <f>'Phan tich don gia'!G120</f>
        <v>1537819</v>
      </c>
      <c r="G34" s="51">
        <f>'Phan tich don gia'!G123</f>
        <v>189150</v>
      </c>
      <c r="H34" s="51">
        <f>'Phan tich don gia'!G125</f>
        <v>257774.808</v>
      </c>
      <c r="I34" s="52">
        <f>E34*F34</f>
        <v>33832018</v>
      </c>
      <c r="J34" s="52">
        <f>E34*G34</f>
        <v>4161300</v>
      </c>
      <c r="K34" s="53">
        <f>E34*H34</f>
        <v>5671045.776</v>
      </c>
    </row>
    <row r="35" spans="1:11" ht="14.25">
      <c r="A35" s="49" t="s">
        <v>0</v>
      </c>
      <c r="B35" s="50" t="s">
        <v>0</v>
      </c>
      <c r="C35" s="50" t="s">
        <v>306</v>
      </c>
      <c r="D35" s="50" t="s">
        <v>0</v>
      </c>
      <c r="E35" s="66"/>
      <c r="F35" s="51"/>
      <c r="G35" s="51"/>
      <c r="H35" s="51"/>
      <c r="I35" s="52"/>
      <c r="J35" s="52"/>
      <c r="K35" s="53"/>
    </row>
    <row r="36" spans="1:11" ht="14.25">
      <c r="A36" s="49" t="s">
        <v>85</v>
      </c>
      <c r="B36" s="50" t="s">
        <v>86</v>
      </c>
      <c r="C36" s="50" t="s">
        <v>87</v>
      </c>
      <c r="D36" s="50" t="s">
        <v>88</v>
      </c>
      <c r="E36" s="66">
        <f>36</f>
        <v>36</v>
      </c>
      <c r="F36" s="51">
        <f>'Phan tich don gia'!G129</f>
        <v>8491000</v>
      </c>
      <c r="G36" s="51">
        <f>'Phan tich don gia'!G131</f>
        <v>65572</v>
      </c>
      <c r="H36" s="51">
        <f>'Phan tich don gia'!G133</f>
        <v>197121.912</v>
      </c>
      <c r="I36" s="52">
        <f>E36*F36</f>
        <v>305676000</v>
      </c>
      <c r="J36" s="52">
        <f>E36*G36</f>
        <v>2360592</v>
      </c>
      <c r="K36" s="53">
        <f>E36*H36</f>
        <v>7096388.832</v>
      </c>
    </row>
    <row r="37" spans="1:11" ht="14.25">
      <c r="A37" s="49" t="s">
        <v>0</v>
      </c>
      <c r="B37" s="50" t="s">
        <v>0</v>
      </c>
      <c r="C37" s="50" t="s">
        <v>310</v>
      </c>
      <c r="D37" s="50" t="s">
        <v>0</v>
      </c>
      <c r="E37" s="66"/>
      <c r="F37" s="51"/>
      <c r="G37" s="51"/>
      <c r="H37" s="51"/>
      <c r="I37" s="52"/>
      <c r="J37" s="52"/>
      <c r="K37" s="53"/>
    </row>
    <row r="38" spans="1:11" ht="14.25">
      <c r="A38" s="49" t="s">
        <v>90</v>
      </c>
      <c r="B38" s="50" t="s">
        <v>91</v>
      </c>
      <c r="C38" s="50" t="s">
        <v>92</v>
      </c>
      <c r="D38" s="50" t="s">
        <v>93</v>
      </c>
      <c r="E38" s="66">
        <f>1</f>
        <v>1</v>
      </c>
      <c r="F38" s="51">
        <f>'Phan tich don gia'!G137</f>
        <v>18248206</v>
      </c>
      <c r="G38" s="51">
        <f>'Phan tich don gia'!G141</f>
        <v>385866</v>
      </c>
      <c r="H38" s="51"/>
      <c r="I38" s="52">
        <f>E38*F38</f>
        <v>18248206</v>
      </c>
      <c r="J38" s="52">
        <f>E38*G38</f>
        <v>385866</v>
      </c>
      <c r="K38" s="53">
        <f>E38*H38</f>
        <v>0</v>
      </c>
    </row>
    <row r="39" spans="1:11" ht="14.25">
      <c r="A39" s="49" t="s">
        <v>0</v>
      </c>
      <c r="B39" s="50" t="s">
        <v>0</v>
      </c>
      <c r="C39" s="50" t="s">
        <v>303</v>
      </c>
      <c r="D39" s="50" t="s">
        <v>0</v>
      </c>
      <c r="E39" s="66"/>
      <c r="F39" s="51"/>
      <c r="G39" s="51"/>
      <c r="H39" s="51"/>
      <c r="I39" s="52"/>
      <c r="J39" s="52"/>
      <c r="K39" s="53"/>
    </row>
    <row r="40" spans="1:11" ht="14.25">
      <c r="A40" s="49" t="s">
        <v>97</v>
      </c>
      <c r="B40" s="50" t="s">
        <v>98</v>
      </c>
      <c r="C40" s="50" t="s">
        <v>99</v>
      </c>
      <c r="D40" s="50" t="s">
        <v>88</v>
      </c>
      <c r="E40" s="66">
        <f>3</f>
        <v>3</v>
      </c>
      <c r="F40" s="51">
        <f>'Phan tich don gia'!G145</f>
        <v>98506.4856</v>
      </c>
      <c r="G40" s="51">
        <f>'Phan tich don gia'!G149</f>
        <v>83226</v>
      </c>
      <c r="H40" s="51">
        <f>'Phan tich don gia'!G151</f>
        <v>350273.85</v>
      </c>
      <c r="I40" s="52">
        <f>E40*F40</f>
        <v>295519.4568</v>
      </c>
      <c r="J40" s="52">
        <f>E40*G40</f>
        <v>249678</v>
      </c>
      <c r="K40" s="53">
        <f>E40*H40</f>
        <v>1050821.5499999998</v>
      </c>
    </row>
    <row r="41" spans="1:11" ht="14.25">
      <c r="A41" s="49" t="s">
        <v>0</v>
      </c>
      <c r="B41" s="50" t="s">
        <v>0</v>
      </c>
      <c r="C41" s="50" t="s">
        <v>304</v>
      </c>
      <c r="D41" s="50" t="s">
        <v>0</v>
      </c>
      <c r="E41" s="66"/>
      <c r="F41" s="51"/>
      <c r="G41" s="51"/>
      <c r="H41" s="51"/>
      <c r="I41" s="52"/>
      <c r="J41" s="52"/>
      <c r="K41" s="53"/>
    </row>
    <row r="42" spans="1:11" ht="14.25">
      <c r="A42" s="49" t="s">
        <v>106</v>
      </c>
      <c r="B42" s="50" t="s">
        <v>107</v>
      </c>
      <c r="C42" s="50" t="s">
        <v>108</v>
      </c>
      <c r="D42" s="50" t="s">
        <v>88</v>
      </c>
      <c r="E42" s="66">
        <f>1</f>
        <v>1</v>
      </c>
      <c r="F42" s="51">
        <f>'Phan tich don gia'!G156</f>
        <v>569964</v>
      </c>
      <c r="G42" s="51">
        <f>'Phan tich don gia'!G158</f>
        <v>78182</v>
      </c>
      <c r="H42" s="51">
        <f>'Phan tich don gia'!G160</f>
        <v>40941.83</v>
      </c>
      <c r="I42" s="52">
        <f>E42*F42</f>
        <v>569964</v>
      </c>
      <c r="J42" s="52">
        <f>E42*G42</f>
        <v>78182</v>
      </c>
      <c r="K42" s="53">
        <f>E42*H42</f>
        <v>40941.83</v>
      </c>
    </row>
    <row r="43" spans="1:11" ht="14.25">
      <c r="A43" s="49" t="s">
        <v>0</v>
      </c>
      <c r="B43" s="50" t="s">
        <v>0</v>
      </c>
      <c r="C43" s="50" t="s">
        <v>303</v>
      </c>
      <c r="D43" s="50" t="s">
        <v>0</v>
      </c>
      <c r="E43" s="66"/>
      <c r="F43" s="51"/>
      <c r="G43" s="51"/>
      <c r="H43" s="51"/>
      <c r="I43" s="52"/>
      <c r="J43" s="52"/>
      <c r="K43" s="53"/>
    </row>
    <row r="44" spans="1:11" ht="14.25">
      <c r="A44" s="49" t="s">
        <v>110</v>
      </c>
      <c r="B44" s="50" t="s">
        <v>111</v>
      </c>
      <c r="C44" s="50" t="s">
        <v>112</v>
      </c>
      <c r="D44" s="50" t="s">
        <v>113</v>
      </c>
      <c r="E44" s="66">
        <f>1265</f>
        <v>1265</v>
      </c>
      <c r="F44" s="51">
        <f>'Phan tich don gia'!G165</f>
        <v>43185</v>
      </c>
      <c r="G44" s="51">
        <f>'Phan tich don gia'!G167</f>
        <v>2471.56</v>
      </c>
      <c r="H44" s="51"/>
      <c r="I44" s="52">
        <f>E44*F44</f>
        <v>54629025</v>
      </c>
      <c r="J44" s="52">
        <f>E44*G44</f>
        <v>3126523.4</v>
      </c>
      <c r="K44" s="53"/>
    </row>
    <row r="45" spans="1:11" ht="14.25">
      <c r="A45" s="49" t="s">
        <v>0</v>
      </c>
      <c r="B45" s="50" t="s">
        <v>0</v>
      </c>
      <c r="C45" s="50" t="s">
        <v>309</v>
      </c>
      <c r="D45" s="50" t="s">
        <v>0</v>
      </c>
      <c r="E45" s="66"/>
      <c r="F45" s="51"/>
      <c r="G45" s="51"/>
      <c r="H45" s="51"/>
      <c r="I45" s="52"/>
      <c r="J45" s="52"/>
      <c r="K45" s="53"/>
    </row>
    <row r="46" spans="1:11" ht="14.25">
      <c r="A46" s="49" t="s">
        <v>116</v>
      </c>
      <c r="B46" s="50" t="s">
        <v>117</v>
      </c>
      <c r="C46" s="50" t="s">
        <v>118</v>
      </c>
      <c r="D46" s="50" t="s">
        <v>113</v>
      </c>
      <c r="E46" s="66">
        <f>242</f>
        <v>242</v>
      </c>
      <c r="F46" s="51">
        <f>'Phan tich don gia'!G173</f>
        <v>22267</v>
      </c>
      <c r="G46" s="51">
        <f>'Phan tich don gia'!G175</f>
        <v>3278.6</v>
      </c>
      <c r="H46" s="51"/>
      <c r="I46" s="52">
        <f>E46*F46</f>
        <v>5388614</v>
      </c>
      <c r="J46" s="52">
        <f>E46*G46</f>
        <v>793421.2</v>
      </c>
      <c r="K46" s="53">
        <f>E46*H46</f>
        <v>0</v>
      </c>
    </row>
    <row r="47" spans="1:11" ht="14.25">
      <c r="A47" s="49" t="s">
        <v>0</v>
      </c>
      <c r="B47" s="50" t="s">
        <v>0</v>
      </c>
      <c r="C47" s="50" t="s">
        <v>308</v>
      </c>
      <c r="D47" s="50" t="s">
        <v>0</v>
      </c>
      <c r="E47" s="66"/>
      <c r="F47" s="51"/>
      <c r="G47" s="51"/>
      <c r="H47" s="51"/>
      <c r="I47" s="52"/>
      <c r="J47" s="52"/>
      <c r="K47" s="53"/>
    </row>
    <row r="48" spans="1:11" ht="14.25">
      <c r="A48" s="49" t="s">
        <v>120</v>
      </c>
      <c r="B48" s="50" t="s">
        <v>121</v>
      </c>
      <c r="C48" s="50" t="s">
        <v>122</v>
      </c>
      <c r="D48" s="50" t="s">
        <v>123</v>
      </c>
      <c r="E48" s="66">
        <f>1</f>
        <v>1</v>
      </c>
      <c r="F48" s="51">
        <f>'Phan tich don gia'!G179</f>
        <v>1822445</v>
      </c>
      <c r="G48" s="51"/>
      <c r="H48" s="51"/>
      <c r="I48" s="52">
        <f>E48*F48</f>
        <v>1822445</v>
      </c>
      <c r="J48" s="52">
        <f>E48*G48</f>
        <v>0</v>
      </c>
      <c r="K48" s="53">
        <f>E48*H48</f>
        <v>0</v>
      </c>
    </row>
    <row r="49" spans="1:11" ht="14.25">
      <c r="A49" s="49" t="s">
        <v>0</v>
      </c>
      <c r="B49" s="50" t="s">
        <v>0</v>
      </c>
      <c r="C49" s="50" t="s">
        <v>303</v>
      </c>
      <c r="D49" s="50" t="s">
        <v>0</v>
      </c>
      <c r="E49" s="66"/>
      <c r="F49" s="51"/>
      <c r="G49" s="51"/>
      <c r="H49" s="51"/>
      <c r="I49" s="52"/>
      <c r="J49" s="52"/>
      <c r="K49" s="53"/>
    </row>
    <row r="50" spans="1:11" ht="14.25">
      <c r="A50" s="49" t="s">
        <v>128</v>
      </c>
      <c r="B50" s="50" t="s">
        <v>129</v>
      </c>
      <c r="C50" s="50" t="s">
        <v>130</v>
      </c>
      <c r="D50" s="50" t="s">
        <v>77</v>
      </c>
      <c r="E50" s="66">
        <f>1</f>
        <v>1</v>
      </c>
      <c r="F50" s="51">
        <f>'Phan tich don gia'!G185</f>
        <v>129850</v>
      </c>
      <c r="G50" s="51"/>
      <c r="H50" s="51"/>
      <c r="I50" s="52">
        <f>E50*F50</f>
        <v>129850</v>
      </c>
      <c r="J50" s="52">
        <f>E50*G50</f>
        <v>0</v>
      </c>
      <c r="K50" s="53">
        <f>E50*H50</f>
        <v>0</v>
      </c>
    </row>
    <row r="51" spans="1:11" ht="14.25">
      <c r="A51" s="49" t="s">
        <v>0</v>
      </c>
      <c r="B51" s="50" t="s">
        <v>0</v>
      </c>
      <c r="C51" s="50" t="s">
        <v>303</v>
      </c>
      <c r="D51" s="50" t="s">
        <v>0</v>
      </c>
      <c r="E51" s="66"/>
      <c r="F51" s="51"/>
      <c r="G51" s="51"/>
      <c r="H51" s="51"/>
      <c r="I51" s="52"/>
      <c r="J51" s="52"/>
      <c r="K51" s="53"/>
    </row>
    <row r="52" spans="1:11" ht="14.25">
      <c r="A52" s="49" t="s">
        <v>138</v>
      </c>
      <c r="B52" s="50" t="s">
        <v>139</v>
      </c>
      <c r="C52" s="50" t="s">
        <v>140</v>
      </c>
      <c r="D52" s="50" t="s">
        <v>77</v>
      </c>
      <c r="E52" s="66">
        <f>5</f>
        <v>5</v>
      </c>
      <c r="F52" s="51">
        <f>'Phan tich don gia'!G194</f>
        <v>38091</v>
      </c>
      <c r="G52" s="51"/>
      <c r="H52" s="51"/>
      <c r="I52" s="52">
        <f>E52*F52</f>
        <v>190455</v>
      </c>
      <c r="J52" s="52">
        <f>E52*G52</f>
        <v>0</v>
      </c>
      <c r="K52" s="53">
        <f>E52*H52</f>
        <v>0</v>
      </c>
    </row>
    <row r="53" spans="1:11" ht="14.25">
      <c r="A53" s="49" t="s">
        <v>0</v>
      </c>
      <c r="B53" s="50" t="s">
        <v>0</v>
      </c>
      <c r="C53" s="50" t="s">
        <v>307</v>
      </c>
      <c r="D53" s="50" t="s">
        <v>0</v>
      </c>
      <c r="E53" s="66"/>
      <c r="F53" s="51"/>
      <c r="G53" s="51"/>
      <c r="H53" s="51"/>
      <c r="I53" s="52"/>
      <c r="J53" s="52"/>
      <c r="K53" s="53"/>
    </row>
    <row r="54" spans="1:11" ht="14.25">
      <c r="A54" s="49" t="s">
        <v>143</v>
      </c>
      <c r="B54" s="50" t="s">
        <v>144</v>
      </c>
      <c r="C54" s="50" t="s">
        <v>145</v>
      </c>
      <c r="D54" s="50" t="s">
        <v>77</v>
      </c>
      <c r="E54" s="66">
        <f>5</f>
        <v>5</v>
      </c>
      <c r="F54" s="51">
        <f>'Phan tich don gia'!G199</f>
        <v>71861</v>
      </c>
      <c r="G54" s="51"/>
      <c r="H54" s="51"/>
      <c r="I54" s="52">
        <f>E54*F54</f>
        <v>359305</v>
      </c>
      <c r="J54" s="52">
        <f>E54*G54</f>
        <v>0</v>
      </c>
      <c r="K54" s="53">
        <f>E54*H54</f>
        <v>0</v>
      </c>
    </row>
    <row r="55" spans="1:11" ht="14.25">
      <c r="A55" s="49" t="s">
        <v>0</v>
      </c>
      <c r="B55" s="50" t="s">
        <v>0</v>
      </c>
      <c r="C55" s="50" t="s">
        <v>307</v>
      </c>
      <c r="D55" s="50" t="s">
        <v>0</v>
      </c>
      <c r="E55" s="66"/>
      <c r="F55" s="51"/>
      <c r="G55" s="51"/>
      <c r="H55" s="51"/>
      <c r="I55" s="52"/>
      <c r="J55" s="52"/>
      <c r="K55" s="53"/>
    </row>
    <row r="56" spans="1:11" ht="14.25">
      <c r="A56" s="49" t="s">
        <v>147</v>
      </c>
      <c r="B56" s="50" t="s">
        <v>148</v>
      </c>
      <c r="C56" s="50" t="s">
        <v>149</v>
      </c>
      <c r="D56" s="50" t="s">
        <v>77</v>
      </c>
      <c r="E56" s="66">
        <f>22</f>
        <v>22</v>
      </c>
      <c r="F56" s="51">
        <f>'Phan tich don gia'!G205</f>
        <v>38091</v>
      </c>
      <c r="G56" s="51"/>
      <c r="H56" s="51"/>
      <c r="I56" s="52">
        <f>E56*F56</f>
        <v>838002</v>
      </c>
      <c r="J56" s="52">
        <f>E56*G56</f>
        <v>0</v>
      </c>
      <c r="K56" s="53">
        <f>E56*H56</f>
        <v>0</v>
      </c>
    </row>
    <row r="57" spans="1:11" ht="14.25">
      <c r="A57" s="49" t="s">
        <v>0</v>
      </c>
      <c r="B57" s="50" t="s">
        <v>0</v>
      </c>
      <c r="C57" s="50" t="s">
        <v>306</v>
      </c>
      <c r="D57" s="50" t="s">
        <v>0</v>
      </c>
      <c r="E57" s="66"/>
      <c r="F57" s="51"/>
      <c r="G57" s="51"/>
      <c r="H57" s="51"/>
      <c r="I57" s="52"/>
      <c r="J57" s="52"/>
      <c r="K57" s="53"/>
    </row>
    <row r="58" spans="1:11" ht="14.25">
      <c r="A58" s="49" t="s">
        <v>150</v>
      </c>
      <c r="B58" s="50" t="s">
        <v>151</v>
      </c>
      <c r="C58" s="50" t="s">
        <v>152</v>
      </c>
      <c r="D58" s="50" t="s">
        <v>77</v>
      </c>
      <c r="E58" s="66">
        <f>1</f>
        <v>1</v>
      </c>
      <c r="F58" s="51">
        <f>'Phan tich don gia'!G210</f>
        <v>188780</v>
      </c>
      <c r="G58" s="51"/>
      <c r="H58" s="51"/>
      <c r="I58" s="52">
        <f>E58*F58</f>
        <v>188780</v>
      </c>
      <c r="J58" s="52">
        <f>E58*G58</f>
        <v>0</v>
      </c>
      <c r="K58" s="53">
        <f>E58*H58</f>
        <v>0</v>
      </c>
    </row>
    <row r="59" spans="1:11" ht="14.25">
      <c r="A59" s="49" t="s">
        <v>0</v>
      </c>
      <c r="B59" s="50" t="s">
        <v>0</v>
      </c>
      <c r="C59" s="50" t="s">
        <v>303</v>
      </c>
      <c r="D59" s="50" t="s">
        <v>0</v>
      </c>
      <c r="E59" s="66"/>
      <c r="F59" s="51"/>
      <c r="G59" s="51"/>
      <c r="H59" s="51"/>
      <c r="I59" s="52"/>
      <c r="J59" s="52"/>
      <c r="K59" s="53"/>
    </row>
    <row r="60" spans="1:11" ht="14.25">
      <c r="A60" s="49" t="s">
        <v>153</v>
      </c>
      <c r="B60" s="50" t="s">
        <v>154</v>
      </c>
      <c r="C60" s="50" t="s">
        <v>155</v>
      </c>
      <c r="D60" s="50" t="s">
        <v>77</v>
      </c>
      <c r="E60" s="66">
        <f>2</f>
        <v>2</v>
      </c>
      <c r="F60" s="51">
        <f>'Phan tich don gia'!G216</f>
        <v>71861</v>
      </c>
      <c r="G60" s="51"/>
      <c r="H60" s="51"/>
      <c r="I60" s="52">
        <f>E60*F60</f>
        <v>143722</v>
      </c>
      <c r="J60" s="52">
        <f>E60*G60</f>
        <v>0</v>
      </c>
      <c r="K60" s="53">
        <f>E60*H60</f>
        <v>0</v>
      </c>
    </row>
    <row r="61" spans="1:11" ht="14.25">
      <c r="A61" s="49" t="s">
        <v>0</v>
      </c>
      <c r="B61" s="50" t="s">
        <v>0</v>
      </c>
      <c r="C61" s="50" t="s">
        <v>305</v>
      </c>
      <c r="D61" s="50" t="s">
        <v>0</v>
      </c>
      <c r="E61" s="66"/>
      <c r="F61" s="51"/>
      <c r="G61" s="51"/>
      <c r="H61" s="51"/>
      <c r="I61" s="52"/>
      <c r="J61" s="52"/>
      <c r="K61" s="53"/>
    </row>
    <row r="62" spans="1:11" ht="14.25">
      <c r="A62" s="49" t="s">
        <v>156</v>
      </c>
      <c r="B62" s="50" t="s">
        <v>157</v>
      </c>
      <c r="C62" s="50" t="s">
        <v>158</v>
      </c>
      <c r="D62" s="50" t="s">
        <v>77</v>
      </c>
      <c r="E62" s="66">
        <f>3</f>
        <v>3</v>
      </c>
      <c r="F62" s="51">
        <f>'Phan tich don gia'!G222</f>
        <v>78520</v>
      </c>
      <c r="G62" s="51"/>
      <c r="H62" s="51"/>
      <c r="I62" s="52">
        <f>E62*F62</f>
        <v>235560</v>
      </c>
      <c r="J62" s="52">
        <f>E62*G62</f>
        <v>0</v>
      </c>
      <c r="K62" s="53">
        <f>E62*H62</f>
        <v>0</v>
      </c>
    </row>
    <row r="63" spans="1:11" ht="14.25">
      <c r="A63" s="49" t="s">
        <v>0</v>
      </c>
      <c r="B63" s="50" t="s">
        <v>0</v>
      </c>
      <c r="C63" s="50" t="s">
        <v>304</v>
      </c>
      <c r="D63" s="50" t="s">
        <v>0</v>
      </c>
      <c r="E63" s="66"/>
      <c r="F63" s="51"/>
      <c r="G63" s="51"/>
      <c r="H63" s="51"/>
      <c r="I63" s="52"/>
      <c r="J63" s="52"/>
      <c r="K63" s="53"/>
    </row>
    <row r="64" spans="1:11" ht="14.25">
      <c r="A64" s="49" t="s">
        <v>159</v>
      </c>
      <c r="B64" s="50" t="s">
        <v>160</v>
      </c>
      <c r="C64" s="50" t="s">
        <v>161</v>
      </c>
      <c r="D64" s="50" t="s">
        <v>77</v>
      </c>
      <c r="E64" s="66">
        <f>1</f>
        <v>1</v>
      </c>
      <c r="F64" s="51">
        <f>'Phan tich don gia'!G229</f>
        <v>214100</v>
      </c>
      <c r="G64" s="51"/>
      <c r="H64" s="51"/>
      <c r="I64" s="52">
        <f>E64*F64</f>
        <v>214100</v>
      </c>
      <c r="J64" s="52">
        <f>E64*G64</f>
        <v>0</v>
      </c>
      <c r="K64" s="53">
        <f>E64*H64</f>
        <v>0</v>
      </c>
    </row>
    <row r="65" spans="1:11" ht="14.25">
      <c r="A65" s="49" t="s">
        <v>0</v>
      </c>
      <c r="B65" s="50" t="s">
        <v>0</v>
      </c>
      <c r="C65" s="50" t="s">
        <v>303</v>
      </c>
      <c r="D65" s="50" t="s">
        <v>0</v>
      </c>
      <c r="E65" s="66"/>
      <c r="F65" s="51"/>
      <c r="G65" s="51"/>
      <c r="H65" s="51"/>
      <c r="I65" s="52"/>
      <c r="J65" s="52"/>
      <c r="K65" s="53"/>
    </row>
    <row r="66" spans="1:11" ht="14.25">
      <c r="A66" s="49" t="s">
        <v>162</v>
      </c>
      <c r="B66" s="50" t="s">
        <v>163</v>
      </c>
      <c r="C66" s="50" t="s">
        <v>164</v>
      </c>
      <c r="D66" s="50" t="s">
        <v>79</v>
      </c>
      <c r="E66" s="66">
        <f>80</f>
        <v>80</v>
      </c>
      <c r="F66" s="51">
        <f>'Phan tich don gia'!G236</f>
        <v>54300</v>
      </c>
      <c r="G66" s="51"/>
      <c r="H66" s="51"/>
      <c r="I66" s="52">
        <f>E66*F66</f>
        <v>4344000</v>
      </c>
      <c r="J66" s="52">
        <f>E66*G66</f>
        <v>0</v>
      </c>
      <c r="K66" s="53">
        <f>E66*H66</f>
        <v>0</v>
      </c>
    </row>
    <row r="67" spans="1:11" ht="14.25">
      <c r="A67" s="49" t="s">
        <v>0</v>
      </c>
      <c r="B67" s="50" t="s">
        <v>0</v>
      </c>
      <c r="C67" s="50" t="s">
        <v>302</v>
      </c>
      <c r="D67" s="50" t="s">
        <v>0</v>
      </c>
      <c r="E67" s="66"/>
      <c r="F67" s="51"/>
      <c r="G67" s="51"/>
      <c r="H67" s="51"/>
      <c r="I67" s="52"/>
      <c r="J67" s="52"/>
      <c r="K67" s="53"/>
    </row>
    <row r="68" spans="1:11" ht="14.25">
      <c r="A68" s="49" t="s">
        <v>166</v>
      </c>
      <c r="B68" s="50" t="s">
        <v>167</v>
      </c>
      <c r="C68" s="50" t="s">
        <v>168</v>
      </c>
      <c r="D68" s="50" t="s">
        <v>58</v>
      </c>
      <c r="E68" s="66">
        <f>32</f>
        <v>32</v>
      </c>
      <c r="F68" s="51">
        <f>'Phan tich don gia'!G240</f>
        <v>50000</v>
      </c>
      <c r="G68" s="51"/>
      <c r="H68" s="51"/>
      <c r="I68" s="52">
        <f>E68*F68</f>
        <v>1600000</v>
      </c>
      <c r="J68" s="52">
        <f>E68*G68</f>
        <v>0</v>
      </c>
      <c r="K68" s="53">
        <f>E68*H68</f>
        <v>0</v>
      </c>
    </row>
    <row r="69" spans="1:11" ht="14.25">
      <c r="A69" s="49" t="s">
        <v>0</v>
      </c>
      <c r="B69" s="50" t="s">
        <v>0</v>
      </c>
      <c r="C69" s="50" t="s">
        <v>301</v>
      </c>
      <c r="D69" s="50" t="s">
        <v>0</v>
      </c>
      <c r="E69" s="66"/>
      <c r="F69" s="51"/>
      <c r="G69" s="51"/>
      <c r="H69" s="51"/>
      <c r="I69" s="52"/>
      <c r="J69" s="52"/>
      <c r="K69" s="53"/>
    </row>
    <row r="70" spans="1:11" ht="15" thickBot="1">
      <c r="A70" s="54" t="s">
        <v>0</v>
      </c>
      <c r="B70" s="55" t="s">
        <v>0</v>
      </c>
      <c r="C70" s="55" t="s">
        <v>0</v>
      </c>
      <c r="D70" s="55" t="s">
        <v>0</v>
      </c>
      <c r="E70" s="67"/>
      <c r="F70" s="56"/>
      <c r="G70" s="56"/>
      <c r="H70" s="56"/>
      <c r="I70" s="57"/>
      <c r="J70" s="57"/>
      <c r="K70" s="58"/>
    </row>
  </sheetData>
  <sheetProtection/>
  <mergeCells count="11">
    <mergeCell ref="B7:B8"/>
    <mergeCell ref="C7:C8"/>
    <mergeCell ref="D7:D8"/>
    <mergeCell ref="E7:E8"/>
    <mergeCell ref="F7:H7"/>
    <mergeCell ref="I7:K7"/>
    <mergeCell ref="A1:K1"/>
    <mergeCell ref="A3:K3"/>
    <mergeCell ref="A4:K4"/>
    <mergeCell ref="A5:K5"/>
    <mergeCell ref="A7:A8"/>
  </mergeCells>
  <printOptions horizontalCentered="1"/>
  <pageMargins left="0.4" right="0.2" top="0.5" bottom="0.5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18"/>
  <sheetViews>
    <sheetView showZeros="0" zoomScalePageLayoutView="0" workbookViewId="0" topLeftCell="A173">
      <selection activeCell="J187" sqref="J187"/>
    </sheetView>
  </sheetViews>
  <sheetFormatPr defaultColWidth="8.796875" defaultRowHeight="15"/>
  <cols>
    <col min="1" max="1" width="3.59765625" style="6" customWidth="1"/>
    <col min="2" max="2" width="8.59765625" style="6" customWidth="1"/>
    <col min="3" max="3" width="30.3984375" style="6" customWidth="1"/>
    <col min="4" max="4" width="5.19921875" style="6" customWidth="1"/>
    <col min="5" max="5" width="10.09765625" style="72" customWidth="1"/>
    <col min="6" max="6" width="10.5" style="73" customWidth="1"/>
    <col min="7" max="7" width="12.5" style="73" customWidth="1"/>
    <col min="8" max="16384" width="9" style="6" customWidth="1"/>
  </cols>
  <sheetData>
    <row r="1" spans="1:7" ht="21">
      <c r="A1" s="243" t="s">
        <v>443</v>
      </c>
      <c r="B1" s="243"/>
      <c r="C1" s="243"/>
      <c r="D1" s="243"/>
      <c r="E1" s="243"/>
      <c r="F1" s="243"/>
      <c r="G1" s="243"/>
    </row>
    <row r="2" spans="1:7" ht="15.75">
      <c r="A2" s="2"/>
      <c r="B2" s="2"/>
      <c r="C2" s="2"/>
      <c r="D2" s="2"/>
      <c r="E2" s="86"/>
      <c r="F2" s="1"/>
      <c r="G2" s="1"/>
    </row>
    <row r="3" spans="1:7" s="39" customFormat="1" ht="16.5">
      <c r="A3" s="242" t="s">
        <v>423</v>
      </c>
      <c r="B3" s="242"/>
      <c r="C3" s="242"/>
      <c r="D3" s="242"/>
      <c r="E3" s="242"/>
      <c r="F3" s="242"/>
      <c r="G3" s="242"/>
    </row>
    <row r="4" spans="1:7" s="39" customFormat="1" ht="16.5">
      <c r="A4" s="242" t="s">
        <v>424</v>
      </c>
      <c r="B4" s="242"/>
      <c r="C4" s="242"/>
      <c r="D4" s="242"/>
      <c r="E4" s="242"/>
      <c r="F4" s="242"/>
      <c r="G4" s="242"/>
    </row>
    <row r="5" spans="1:7" s="39" customFormat="1" ht="16.5">
      <c r="A5" s="242"/>
      <c r="B5" s="242"/>
      <c r="C5" s="242"/>
      <c r="D5" s="242"/>
      <c r="E5" s="242"/>
      <c r="F5" s="242"/>
      <c r="G5" s="242"/>
    </row>
    <row r="6" spans="1:7" ht="16.5" thickBot="1">
      <c r="A6" s="2"/>
      <c r="B6" s="2"/>
      <c r="C6" s="2"/>
      <c r="D6" s="2"/>
      <c r="E6" s="86"/>
      <c r="F6" s="1"/>
      <c r="G6" s="1"/>
    </row>
    <row r="7" spans="1:7" ht="45" customHeight="1">
      <c r="A7" s="34" t="s">
        <v>276</v>
      </c>
      <c r="B7" s="36" t="s">
        <v>444</v>
      </c>
      <c r="C7" s="35" t="s">
        <v>436</v>
      </c>
      <c r="D7" s="36" t="s">
        <v>445</v>
      </c>
      <c r="E7" s="87" t="s">
        <v>446</v>
      </c>
      <c r="F7" s="88" t="s">
        <v>434</v>
      </c>
      <c r="G7" s="89" t="s">
        <v>432</v>
      </c>
    </row>
    <row r="8" spans="1:7" ht="15">
      <c r="A8" s="81" t="s">
        <v>2</v>
      </c>
      <c r="B8" s="82" t="s">
        <v>3</v>
      </c>
      <c r="C8" s="82" t="s">
        <v>4</v>
      </c>
      <c r="D8" s="82" t="s">
        <v>5</v>
      </c>
      <c r="E8" s="83"/>
      <c r="F8" s="84"/>
      <c r="G8" s="85"/>
    </row>
    <row r="9" spans="1:7" ht="15">
      <c r="A9" s="12" t="s">
        <v>0</v>
      </c>
      <c r="B9" s="13" t="s">
        <v>0</v>
      </c>
      <c r="C9" s="13" t="s">
        <v>6</v>
      </c>
      <c r="D9" s="13" t="s">
        <v>0</v>
      </c>
      <c r="E9" s="74"/>
      <c r="F9" s="75"/>
      <c r="G9" s="76"/>
    </row>
    <row r="10" spans="1:7" ht="15.75">
      <c r="A10" s="12" t="s">
        <v>0</v>
      </c>
      <c r="B10" s="13" t="s">
        <v>0</v>
      </c>
      <c r="C10" s="13" t="s">
        <v>319</v>
      </c>
      <c r="D10" s="13" t="s">
        <v>0</v>
      </c>
      <c r="E10" s="74"/>
      <c r="F10" s="75"/>
      <c r="G10" s="77">
        <f>ROUND(SUM(G11:G11),5)</f>
        <v>10075.57912</v>
      </c>
    </row>
    <row r="11" spans="1:7" ht="15">
      <c r="A11" s="12" t="s">
        <v>0</v>
      </c>
      <c r="B11" s="13" t="s">
        <v>0</v>
      </c>
      <c r="C11" s="13" t="s">
        <v>7</v>
      </c>
      <c r="D11" s="13" t="s">
        <v>8</v>
      </c>
      <c r="E11" s="74">
        <f>0.0461</f>
        <v>0.0461</v>
      </c>
      <c r="F11" s="75">
        <f>'Gia NC,CM'!P8</f>
        <v>218559.2</v>
      </c>
      <c r="G11" s="76">
        <f>ROUND(E11*F11,5)</f>
        <v>10075.57912</v>
      </c>
    </row>
    <row r="12" spans="1:7" ht="15.75">
      <c r="A12" s="12" t="s">
        <v>0</v>
      </c>
      <c r="B12" s="13" t="s">
        <v>0</v>
      </c>
      <c r="C12" s="13" t="s">
        <v>320</v>
      </c>
      <c r="D12" s="13" t="s">
        <v>0</v>
      </c>
      <c r="E12" s="74"/>
      <c r="F12" s="75"/>
      <c r="G12" s="77">
        <f>ROUND(SUM(G13:G16),5)</f>
        <v>16022.14134</v>
      </c>
    </row>
    <row r="13" spans="1:7" ht="15">
      <c r="A13" s="12" t="s">
        <v>0</v>
      </c>
      <c r="B13" s="13" t="s">
        <v>0</v>
      </c>
      <c r="C13" s="13" t="s">
        <v>9</v>
      </c>
      <c r="D13" s="13" t="s">
        <v>10</v>
      </c>
      <c r="E13" s="74">
        <f>0.00897</f>
        <v>0.00897</v>
      </c>
      <c r="F13" s="75">
        <f>'Gia NC,CM'!P14</f>
        <v>1786191.9</v>
      </c>
      <c r="G13" s="76">
        <f>ROUND(E13*F13,5)</f>
        <v>16022.14134</v>
      </c>
    </row>
    <row r="14" spans="1:7" ht="15">
      <c r="A14" s="12" t="s">
        <v>0</v>
      </c>
      <c r="B14" s="13" t="s">
        <v>0</v>
      </c>
      <c r="C14" s="13" t="s">
        <v>0</v>
      </c>
      <c r="D14" s="13" t="s">
        <v>0</v>
      </c>
      <c r="E14" s="74"/>
      <c r="F14" s="75"/>
      <c r="G14" s="76"/>
    </row>
    <row r="15" spans="1:7" ht="15">
      <c r="A15" s="12" t="s">
        <v>11</v>
      </c>
      <c r="B15" s="13" t="s">
        <v>12</v>
      </c>
      <c r="C15" s="13" t="s">
        <v>13</v>
      </c>
      <c r="D15" s="13" t="s">
        <v>5</v>
      </c>
      <c r="E15" s="74"/>
      <c r="F15" s="75"/>
      <c r="G15" s="76"/>
    </row>
    <row r="16" spans="1:7" ht="15">
      <c r="A16" s="12" t="s">
        <v>0</v>
      </c>
      <c r="B16" s="13" t="s">
        <v>0</v>
      </c>
      <c r="C16" s="13" t="s">
        <v>6</v>
      </c>
      <c r="D16" s="13" t="s">
        <v>0</v>
      </c>
      <c r="E16" s="74"/>
      <c r="F16" s="75"/>
      <c r="G16" s="76"/>
    </row>
    <row r="17" spans="1:7" ht="15.75">
      <c r="A17" s="12" t="s">
        <v>0</v>
      </c>
      <c r="B17" s="13" t="s">
        <v>0</v>
      </c>
      <c r="C17" s="13" t="s">
        <v>319</v>
      </c>
      <c r="D17" s="13" t="s">
        <v>0</v>
      </c>
      <c r="E17" s="74"/>
      <c r="F17" s="75"/>
      <c r="G17" s="77">
        <f>ROUND(SUM(G18:G21),5)</f>
        <v>354065.904</v>
      </c>
    </row>
    <row r="18" spans="1:7" ht="15">
      <c r="A18" s="12" t="s">
        <v>0</v>
      </c>
      <c r="B18" s="13" t="s">
        <v>0</v>
      </c>
      <c r="C18" s="13" t="s">
        <v>7</v>
      </c>
      <c r="D18" s="13" t="s">
        <v>8</v>
      </c>
      <c r="E18" s="74">
        <f>1.62</f>
        <v>1.62</v>
      </c>
      <c r="F18" s="75">
        <f>'Gia NC,CM'!P8</f>
        <v>218559.2</v>
      </c>
      <c r="G18" s="76">
        <f>ROUND(E18*F18,5)</f>
        <v>354065.904</v>
      </c>
    </row>
    <row r="19" spans="1:7" ht="15">
      <c r="A19" s="12" t="s">
        <v>0</v>
      </c>
      <c r="B19" s="13" t="s">
        <v>0</v>
      </c>
      <c r="C19" s="13" t="s">
        <v>0</v>
      </c>
      <c r="D19" s="13" t="s">
        <v>0</v>
      </c>
      <c r="E19" s="74"/>
      <c r="F19" s="75"/>
      <c r="G19" s="76"/>
    </row>
    <row r="20" spans="1:7" ht="15">
      <c r="A20" s="12" t="s">
        <v>14</v>
      </c>
      <c r="B20" s="13" t="s">
        <v>15</v>
      </c>
      <c r="C20" s="13" t="s">
        <v>16</v>
      </c>
      <c r="D20" s="13" t="s">
        <v>5</v>
      </c>
      <c r="E20" s="74"/>
      <c r="F20" s="75"/>
      <c r="G20" s="76"/>
    </row>
    <row r="21" spans="1:7" ht="15">
      <c r="A21" s="12" t="s">
        <v>0</v>
      </c>
      <c r="B21" s="13" t="s">
        <v>0</v>
      </c>
      <c r="C21" s="13" t="s">
        <v>17</v>
      </c>
      <c r="D21" s="13" t="s">
        <v>0</v>
      </c>
      <c r="E21" s="74"/>
      <c r="F21" s="75"/>
      <c r="G21" s="76"/>
    </row>
    <row r="22" spans="1:7" ht="15.75">
      <c r="A22" s="12" t="s">
        <v>0</v>
      </c>
      <c r="B22" s="13" t="s">
        <v>0</v>
      </c>
      <c r="C22" s="13" t="s">
        <v>326</v>
      </c>
      <c r="D22" s="13" t="s">
        <v>0</v>
      </c>
      <c r="E22" s="74"/>
      <c r="F22" s="75"/>
      <c r="G22" s="77">
        <f>ROUND(SUM(G23:G26),5)</f>
        <v>787885.44467</v>
      </c>
    </row>
    <row r="23" spans="1:7" ht="15">
      <c r="A23" s="12" t="s">
        <v>0</v>
      </c>
      <c r="B23" s="13" t="s">
        <v>0</v>
      </c>
      <c r="C23" s="13" t="s">
        <v>18</v>
      </c>
      <c r="D23" s="13" t="s">
        <v>19</v>
      </c>
      <c r="E23" s="74">
        <f>1.025*193</f>
        <v>197.825</v>
      </c>
      <c r="F23" s="75">
        <f>ROUND('Gia VL'!Q41/1000,5)</f>
        <v>1637.6775</v>
      </c>
      <c r="G23" s="76">
        <f>ROUND(E23*F23,5)</f>
        <v>323973.55144</v>
      </c>
    </row>
    <row r="24" spans="1:7" ht="15">
      <c r="A24" s="12" t="s">
        <v>0</v>
      </c>
      <c r="B24" s="13" t="s">
        <v>0</v>
      </c>
      <c r="C24" s="13" t="s">
        <v>20</v>
      </c>
      <c r="D24" s="13" t="s">
        <v>21</v>
      </c>
      <c r="E24" s="74">
        <f>1.025*0.559</f>
        <v>0.572975</v>
      </c>
      <c r="F24" s="75">
        <f>'Gia VL'!Q13</f>
        <v>338389.3</v>
      </c>
      <c r="G24" s="76">
        <f>ROUND(E24*F24,5)</f>
        <v>193888.60917</v>
      </c>
    </row>
    <row r="25" spans="1:7" ht="15">
      <c r="A25" s="12" t="s">
        <v>0</v>
      </c>
      <c r="B25" s="13" t="s">
        <v>0</v>
      </c>
      <c r="C25" s="13" t="s">
        <v>22</v>
      </c>
      <c r="D25" s="13" t="s">
        <v>21</v>
      </c>
      <c r="E25" s="74">
        <f>1.025*0.906</f>
        <v>0.92865</v>
      </c>
      <c r="F25" s="75">
        <f>'Gia VL'!Q60</f>
        <v>289062.9</v>
      </c>
      <c r="G25" s="76">
        <f>ROUND(E25*F25,5)</f>
        <v>268438.26209</v>
      </c>
    </row>
    <row r="26" spans="1:7" ht="15">
      <c r="A26" s="12" t="s">
        <v>0</v>
      </c>
      <c r="B26" s="13" t="s">
        <v>0</v>
      </c>
      <c r="C26" s="13" t="s">
        <v>23</v>
      </c>
      <c r="D26" s="13" t="s">
        <v>21</v>
      </c>
      <c r="E26" s="74">
        <f>1.025*0.162</f>
        <v>0.16605</v>
      </c>
      <c r="F26" s="75">
        <f>'Gia VL'!Q34</f>
        <v>9545.45</v>
      </c>
      <c r="G26" s="76">
        <f>ROUND(E26*F26,5)</f>
        <v>1585.02197</v>
      </c>
    </row>
    <row r="27" spans="1:7" ht="15.75">
      <c r="A27" s="12" t="s">
        <v>0</v>
      </c>
      <c r="B27" s="13" t="s">
        <v>0</v>
      </c>
      <c r="C27" s="13" t="s">
        <v>319</v>
      </c>
      <c r="D27" s="13" t="s">
        <v>0</v>
      </c>
      <c r="E27" s="74"/>
      <c r="F27" s="75"/>
      <c r="G27" s="77">
        <f>ROUND(SUM(G28:G28),5)</f>
        <v>246774.421</v>
      </c>
    </row>
    <row r="28" spans="1:7" ht="15">
      <c r="A28" s="12" t="s">
        <v>0</v>
      </c>
      <c r="B28" s="13" t="s">
        <v>0</v>
      </c>
      <c r="C28" s="13" t="s">
        <v>24</v>
      </c>
      <c r="D28" s="13" t="s">
        <v>8</v>
      </c>
      <c r="E28" s="74">
        <f>1.07</f>
        <v>1.07</v>
      </c>
      <c r="F28" s="75">
        <f>'Gia NC,CM'!P9</f>
        <v>230630.3</v>
      </c>
      <c r="G28" s="76">
        <f>ROUND(E28*F28,5)</f>
        <v>246774.421</v>
      </c>
    </row>
    <row r="29" spans="1:7" ht="15.75">
      <c r="A29" s="12" t="s">
        <v>0</v>
      </c>
      <c r="B29" s="13" t="s">
        <v>0</v>
      </c>
      <c r="C29" s="13" t="s">
        <v>320</v>
      </c>
      <c r="D29" s="13" t="s">
        <v>0</v>
      </c>
      <c r="E29" s="74"/>
      <c r="F29" s="75"/>
      <c r="G29" s="77">
        <f>ROUND(SUM(G30:G34),5)</f>
        <v>54409.0095</v>
      </c>
    </row>
    <row r="30" spans="1:7" ht="15">
      <c r="A30" s="12" t="s">
        <v>0</v>
      </c>
      <c r="B30" s="13" t="s">
        <v>0</v>
      </c>
      <c r="C30" s="13" t="s">
        <v>25</v>
      </c>
      <c r="D30" s="13" t="s">
        <v>10</v>
      </c>
      <c r="E30" s="74">
        <f>0.095</f>
        <v>0.095</v>
      </c>
      <c r="F30" s="75">
        <f>'Gia NC,CM'!P13</f>
        <v>318885.3</v>
      </c>
      <c r="G30" s="76">
        <f>ROUND(E30*F30,5)</f>
        <v>30294.1035</v>
      </c>
    </row>
    <row r="31" spans="1:7" ht="15">
      <c r="A31" s="12" t="s">
        <v>0</v>
      </c>
      <c r="B31" s="13" t="s">
        <v>0</v>
      </c>
      <c r="C31" s="13" t="s">
        <v>26</v>
      </c>
      <c r="D31" s="13" t="s">
        <v>10</v>
      </c>
      <c r="E31" s="74">
        <f>0.089</f>
        <v>0.089</v>
      </c>
      <c r="F31" s="75">
        <f>'Gia NC,CM'!P15</f>
        <v>270954</v>
      </c>
      <c r="G31" s="76">
        <f>ROUND(E31*F31,5)</f>
        <v>24114.906</v>
      </c>
    </row>
    <row r="32" spans="1:7" ht="15">
      <c r="A32" s="12" t="s">
        <v>0</v>
      </c>
      <c r="B32" s="13" t="s">
        <v>0</v>
      </c>
      <c r="C32" s="13" t="s">
        <v>0</v>
      </c>
      <c r="D32" s="13" t="s">
        <v>0</v>
      </c>
      <c r="E32" s="74"/>
      <c r="F32" s="75"/>
      <c r="G32" s="76"/>
    </row>
    <row r="33" spans="1:7" ht="15">
      <c r="A33" s="12" t="s">
        <v>27</v>
      </c>
      <c r="B33" s="13" t="s">
        <v>28</v>
      </c>
      <c r="C33" s="13" t="s">
        <v>29</v>
      </c>
      <c r="D33" s="13" t="s">
        <v>5</v>
      </c>
      <c r="E33" s="74"/>
      <c r="F33" s="75"/>
      <c r="G33" s="76"/>
    </row>
    <row r="34" spans="1:7" ht="15">
      <c r="A34" s="12" t="s">
        <v>0</v>
      </c>
      <c r="B34" s="13" t="s">
        <v>0</v>
      </c>
      <c r="C34" s="13" t="s">
        <v>30</v>
      </c>
      <c r="D34" s="13" t="s">
        <v>0</v>
      </c>
      <c r="E34" s="74"/>
      <c r="F34" s="75"/>
      <c r="G34" s="76"/>
    </row>
    <row r="35" spans="1:7" ht="15.75">
      <c r="A35" s="12" t="s">
        <v>0</v>
      </c>
      <c r="B35" s="13" t="s">
        <v>0</v>
      </c>
      <c r="C35" s="13" t="s">
        <v>326</v>
      </c>
      <c r="D35" s="13" t="s">
        <v>0</v>
      </c>
      <c r="E35" s="74"/>
      <c r="F35" s="75"/>
      <c r="G35" s="77">
        <f>ROUND(SUM(G36:G40),5)</f>
        <v>871678.47775</v>
      </c>
    </row>
    <row r="36" spans="1:7" ht="15">
      <c r="A36" s="12" t="s">
        <v>0</v>
      </c>
      <c r="B36" s="13" t="s">
        <v>0</v>
      </c>
      <c r="C36" s="13" t="s">
        <v>31</v>
      </c>
      <c r="D36" s="13" t="s">
        <v>19</v>
      </c>
      <c r="E36" s="74">
        <f>1.025*205</f>
        <v>210.12499999999997</v>
      </c>
      <c r="F36" s="75">
        <f>ROUND('Gia VL'!Q43/1000,5)</f>
        <v>1701.3145</v>
      </c>
      <c r="G36" s="76">
        <f>ROUND(E36*F36,5)</f>
        <v>357488.70931</v>
      </c>
    </row>
    <row r="37" spans="1:7" ht="15">
      <c r="A37" s="12" t="s">
        <v>0</v>
      </c>
      <c r="B37" s="13" t="s">
        <v>0</v>
      </c>
      <c r="C37" s="13" t="s">
        <v>20</v>
      </c>
      <c r="D37" s="13" t="s">
        <v>21</v>
      </c>
      <c r="E37" s="74">
        <f>1.025*0.549</f>
        <v>0.562725</v>
      </c>
      <c r="F37" s="75">
        <f>'Gia VL'!Q13</f>
        <v>338389.3</v>
      </c>
      <c r="G37" s="76">
        <f>ROUND(E37*F37,5)</f>
        <v>190420.11884</v>
      </c>
    </row>
    <row r="38" spans="1:7" ht="15">
      <c r="A38" s="12" t="s">
        <v>0</v>
      </c>
      <c r="B38" s="13" t="s">
        <v>0</v>
      </c>
      <c r="C38" s="13" t="s">
        <v>32</v>
      </c>
      <c r="D38" s="13" t="s">
        <v>21</v>
      </c>
      <c r="E38" s="74">
        <f>1.025*0.89</f>
        <v>0.9122499999999999</v>
      </c>
      <c r="F38" s="75">
        <f>'Gia VL'!Q54</f>
        <v>343607.9</v>
      </c>
      <c r="G38" s="76">
        <f>ROUND(E38*F38,5)</f>
        <v>313456.30678</v>
      </c>
    </row>
    <row r="39" spans="1:7" ht="15">
      <c r="A39" s="12" t="s">
        <v>0</v>
      </c>
      <c r="B39" s="13" t="s">
        <v>0</v>
      </c>
      <c r="C39" s="13" t="s">
        <v>23</v>
      </c>
      <c r="D39" s="13" t="s">
        <v>21</v>
      </c>
      <c r="E39" s="74">
        <f>1.025*0.172</f>
        <v>0.17629999999999996</v>
      </c>
      <c r="F39" s="75">
        <f>'Gia VL'!Q34</f>
        <v>9545.45</v>
      </c>
      <c r="G39" s="76">
        <f>ROUND(E39*F39,5)</f>
        <v>1682.86284</v>
      </c>
    </row>
    <row r="40" spans="1:7" ht="15">
      <c r="A40" s="12" t="s">
        <v>0</v>
      </c>
      <c r="B40" s="13" t="s">
        <v>0</v>
      </c>
      <c r="C40" s="13" t="s">
        <v>325</v>
      </c>
      <c r="D40" s="13" t="s">
        <v>324</v>
      </c>
      <c r="E40" s="74">
        <f>1</f>
        <v>1</v>
      </c>
      <c r="F40" s="75"/>
      <c r="G40" s="76">
        <f>ROUND(SUM(G36:G39)*E40/100,5)</f>
        <v>8630.47998</v>
      </c>
    </row>
    <row r="41" spans="1:7" ht="15.75">
      <c r="A41" s="12" t="s">
        <v>0</v>
      </c>
      <c r="B41" s="13" t="s">
        <v>0</v>
      </c>
      <c r="C41" s="13" t="s">
        <v>319</v>
      </c>
      <c r="D41" s="13" t="s">
        <v>0</v>
      </c>
      <c r="E41" s="74"/>
      <c r="F41" s="75"/>
      <c r="G41" s="77">
        <f>ROUND(SUM(G42:G42),5)</f>
        <v>283675.269</v>
      </c>
    </row>
    <row r="42" spans="1:7" ht="15">
      <c r="A42" s="12" t="s">
        <v>0</v>
      </c>
      <c r="B42" s="13" t="s">
        <v>0</v>
      </c>
      <c r="C42" s="13" t="s">
        <v>24</v>
      </c>
      <c r="D42" s="13" t="s">
        <v>8</v>
      </c>
      <c r="E42" s="74">
        <f>1.23</f>
        <v>1.23</v>
      </c>
      <c r="F42" s="75">
        <f>'Gia NC,CM'!P9</f>
        <v>230630.3</v>
      </c>
      <c r="G42" s="76">
        <f>ROUND(E42*F42,5)</f>
        <v>283675.269</v>
      </c>
    </row>
    <row r="43" spans="1:7" ht="15.75">
      <c r="A43" s="12" t="s">
        <v>0</v>
      </c>
      <c r="B43" s="13" t="s">
        <v>0</v>
      </c>
      <c r="C43" s="13" t="s">
        <v>320</v>
      </c>
      <c r="D43" s="13" t="s">
        <v>0</v>
      </c>
      <c r="E43" s="74"/>
      <c r="F43" s="75"/>
      <c r="G43" s="77">
        <f>ROUND(SUM(G44:G48),5)</f>
        <v>54756.7503</v>
      </c>
    </row>
    <row r="44" spans="1:7" ht="15">
      <c r="A44" s="12" t="s">
        <v>0</v>
      </c>
      <c r="B44" s="13" t="s">
        <v>0</v>
      </c>
      <c r="C44" s="13" t="s">
        <v>25</v>
      </c>
      <c r="D44" s="13" t="s">
        <v>10</v>
      </c>
      <c r="E44" s="74">
        <f>0.095</f>
        <v>0.095</v>
      </c>
      <c r="F44" s="75">
        <f>'Gia NC,CM'!P13</f>
        <v>318885.3</v>
      </c>
      <c r="G44" s="76">
        <f>ROUND(E44*F44,5)</f>
        <v>30294.1035</v>
      </c>
    </row>
    <row r="45" spans="1:7" ht="15">
      <c r="A45" s="12" t="s">
        <v>0</v>
      </c>
      <c r="B45" s="13" t="s">
        <v>0</v>
      </c>
      <c r="C45" s="13" t="s">
        <v>33</v>
      </c>
      <c r="D45" s="13" t="s">
        <v>10</v>
      </c>
      <c r="E45" s="74">
        <f>0.089</f>
        <v>0.089</v>
      </c>
      <c r="F45" s="75">
        <f>'Gia NC,CM'!P16</f>
        <v>274861.2</v>
      </c>
      <c r="G45" s="76">
        <f>ROUND(E45*F45,5)</f>
        <v>24462.6468</v>
      </c>
    </row>
    <row r="46" spans="1:7" ht="15">
      <c r="A46" s="12" t="s">
        <v>0</v>
      </c>
      <c r="B46" s="13" t="s">
        <v>0</v>
      </c>
      <c r="C46" s="13" t="s">
        <v>0</v>
      </c>
      <c r="D46" s="13" t="s">
        <v>0</v>
      </c>
      <c r="E46" s="74"/>
      <c r="F46" s="75"/>
      <c r="G46" s="76"/>
    </row>
    <row r="47" spans="1:7" ht="15">
      <c r="A47" s="12" t="s">
        <v>34</v>
      </c>
      <c r="B47" s="13" t="s">
        <v>35</v>
      </c>
      <c r="C47" s="13" t="s">
        <v>36</v>
      </c>
      <c r="D47" s="13" t="s">
        <v>5</v>
      </c>
      <c r="E47" s="74"/>
      <c r="F47" s="75"/>
      <c r="G47" s="76"/>
    </row>
    <row r="48" spans="1:7" ht="15">
      <c r="A48" s="12" t="s">
        <v>0</v>
      </c>
      <c r="B48" s="13" t="s">
        <v>0</v>
      </c>
      <c r="C48" s="13" t="s">
        <v>37</v>
      </c>
      <c r="D48" s="13" t="s">
        <v>0</v>
      </c>
      <c r="E48" s="74"/>
      <c r="F48" s="75"/>
      <c r="G48" s="76"/>
    </row>
    <row r="49" spans="1:7" ht="15.75">
      <c r="A49" s="12" t="s">
        <v>0</v>
      </c>
      <c r="B49" s="13" t="s">
        <v>0</v>
      </c>
      <c r="C49" s="13" t="s">
        <v>326</v>
      </c>
      <c r="D49" s="13" t="s">
        <v>0</v>
      </c>
      <c r="E49" s="74"/>
      <c r="F49" s="75"/>
      <c r="G49" s="77">
        <f>ROUND(SUM(G50:G54),5)</f>
        <v>960978.64432</v>
      </c>
    </row>
    <row r="50" spans="1:7" ht="15">
      <c r="A50" s="12" t="s">
        <v>0</v>
      </c>
      <c r="B50" s="13" t="s">
        <v>0</v>
      </c>
      <c r="C50" s="13" t="s">
        <v>31</v>
      </c>
      <c r="D50" s="13" t="s">
        <v>19</v>
      </c>
      <c r="E50" s="74">
        <f>1.025*259</f>
        <v>265.47499999999997</v>
      </c>
      <c r="F50" s="75">
        <f>ROUND('Gia VL'!Q43/1000,5)</f>
        <v>1701.3145</v>
      </c>
      <c r="G50" s="76">
        <f>ROUND(E50*F50,5)</f>
        <v>451656.46689</v>
      </c>
    </row>
    <row r="51" spans="1:7" ht="15">
      <c r="A51" s="12" t="s">
        <v>0</v>
      </c>
      <c r="B51" s="13" t="s">
        <v>0</v>
      </c>
      <c r="C51" s="13" t="s">
        <v>20</v>
      </c>
      <c r="D51" s="13" t="s">
        <v>21</v>
      </c>
      <c r="E51" s="74">
        <f>1.025*0.528</f>
        <v>0.5412</v>
      </c>
      <c r="F51" s="75">
        <f>'Gia VL'!Q13</f>
        <v>338389.3</v>
      </c>
      <c r="G51" s="76">
        <f>ROUND(E51*F51,5)</f>
        <v>183136.28916</v>
      </c>
    </row>
    <row r="52" spans="1:7" ht="15">
      <c r="A52" s="12" t="s">
        <v>0</v>
      </c>
      <c r="B52" s="13" t="s">
        <v>0</v>
      </c>
      <c r="C52" s="13" t="s">
        <v>38</v>
      </c>
      <c r="D52" s="13" t="s">
        <v>21</v>
      </c>
      <c r="E52" s="74">
        <f>1.025*0.871</f>
        <v>0.8927749999999999</v>
      </c>
      <c r="F52" s="75">
        <f>'Gia VL'!Q48</f>
        <v>352698.9</v>
      </c>
      <c r="G52" s="76">
        <f>ROUND(E52*F52,5)</f>
        <v>314880.76045</v>
      </c>
    </row>
    <row r="53" spans="1:7" ht="15">
      <c r="A53" s="12" t="s">
        <v>0</v>
      </c>
      <c r="B53" s="13" t="s">
        <v>0</v>
      </c>
      <c r="C53" s="13" t="s">
        <v>23</v>
      </c>
      <c r="D53" s="13" t="s">
        <v>21</v>
      </c>
      <c r="E53" s="74">
        <f>1.025*0.183</f>
        <v>0.187575</v>
      </c>
      <c r="F53" s="75">
        <f>'Gia VL'!Q34</f>
        <v>9545.45</v>
      </c>
      <c r="G53" s="76">
        <f>ROUND(E53*F53,5)</f>
        <v>1790.48778</v>
      </c>
    </row>
    <row r="54" spans="1:7" ht="15">
      <c r="A54" s="12" t="s">
        <v>0</v>
      </c>
      <c r="B54" s="13" t="s">
        <v>0</v>
      </c>
      <c r="C54" s="13" t="s">
        <v>325</v>
      </c>
      <c r="D54" s="13" t="s">
        <v>324</v>
      </c>
      <c r="E54" s="74">
        <f>1</f>
        <v>1</v>
      </c>
      <c r="F54" s="75"/>
      <c r="G54" s="76">
        <f>ROUND(SUM(G50:G53)*E54/100,5)</f>
        <v>9514.64004</v>
      </c>
    </row>
    <row r="55" spans="1:7" ht="15.75">
      <c r="A55" s="12" t="s">
        <v>0</v>
      </c>
      <c r="B55" s="13" t="s">
        <v>0</v>
      </c>
      <c r="C55" s="13" t="s">
        <v>319</v>
      </c>
      <c r="D55" s="13" t="s">
        <v>0</v>
      </c>
      <c r="E55" s="74"/>
      <c r="F55" s="75"/>
      <c r="G55" s="77">
        <f>ROUND(SUM(G56:G56),5)</f>
        <v>283675.269</v>
      </c>
    </row>
    <row r="56" spans="1:7" ht="15">
      <c r="A56" s="12" t="s">
        <v>0</v>
      </c>
      <c r="B56" s="13" t="s">
        <v>0</v>
      </c>
      <c r="C56" s="13" t="s">
        <v>24</v>
      </c>
      <c r="D56" s="13" t="s">
        <v>8</v>
      </c>
      <c r="E56" s="74">
        <f>1.23</f>
        <v>1.23</v>
      </c>
      <c r="F56" s="75">
        <f>'Gia NC,CM'!P9</f>
        <v>230630.3</v>
      </c>
      <c r="G56" s="76">
        <f>ROUND(E56*F56,5)</f>
        <v>283675.269</v>
      </c>
    </row>
    <row r="57" spans="1:7" ht="15.75">
      <c r="A57" s="12" t="s">
        <v>0</v>
      </c>
      <c r="B57" s="13" t="s">
        <v>0</v>
      </c>
      <c r="C57" s="13" t="s">
        <v>320</v>
      </c>
      <c r="D57" s="13" t="s">
        <v>0</v>
      </c>
      <c r="E57" s="74"/>
      <c r="F57" s="75"/>
      <c r="G57" s="77">
        <f>ROUND(SUM(G58:G61),5)</f>
        <v>54756.7503</v>
      </c>
    </row>
    <row r="58" spans="1:7" ht="15">
      <c r="A58" s="12" t="s">
        <v>0</v>
      </c>
      <c r="B58" s="13" t="s">
        <v>0</v>
      </c>
      <c r="C58" s="13" t="s">
        <v>25</v>
      </c>
      <c r="D58" s="13" t="s">
        <v>10</v>
      </c>
      <c r="E58" s="74">
        <f>0.095</f>
        <v>0.095</v>
      </c>
      <c r="F58" s="75">
        <f>'Gia NC,CM'!P13</f>
        <v>318885.3</v>
      </c>
      <c r="G58" s="76">
        <f>ROUND(E58*F58,5)</f>
        <v>30294.1035</v>
      </c>
    </row>
    <row r="59" spans="1:7" ht="15">
      <c r="A59" s="12" t="s">
        <v>0</v>
      </c>
      <c r="B59" s="13" t="s">
        <v>0</v>
      </c>
      <c r="C59" s="13" t="s">
        <v>33</v>
      </c>
      <c r="D59" s="13" t="s">
        <v>10</v>
      </c>
      <c r="E59" s="74">
        <f>0.089</f>
        <v>0.089</v>
      </c>
      <c r="F59" s="75">
        <f>'Gia NC,CM'!P16</f>
        <v>274861.2</v>
      </c>
      <c r="G59" s="76">
        <f>ROUND(E59*F59,5)</f>
        <v>24462.6468</v>
      </c>
    </row>
    <row r="60" spans="1:7" ht="15">
      <c r="A60" s="12" t="s">
        <v>0</v>
      </c>
      <c r="B60" s="13" t="s">
        <v>0</v>
      </c>
      <c r="C60" s="13" t="s">
        <v>0</v>
      </c>
      <c r="D60" s="13" t="s">
        <v>0</v>
      </c>
      <c r="E60" s="74"/>
      <c r="F60" s="75"/>
      <c r="G60" s="76"/>
    </row>
    <row r="61" spans="1:7" ht="15">
      <c r="A61" s="12" t="s">
        <v>39</v>
      </c>
      <c r="B61" s="13" t="s">
        <v>40</v>
      </c>
      <c r="C61" s="13" t="s">
        <v>41</v>
      </c>
      <c r="D61" s="13" t="s">
        <v>42</v>
      </c>
      <c r="E61" s="74"/>
      <c r="F61" s="75"/>
      <c r="G61" s="76"/>
    </row>
    <row r="62" spans="1:7" ht="15.75">
      <c r="A62" s="12" t="s">
        <v>0</v>
      </c>
      <c r="B62" s="13" t="s">
        <v>0</v>
      </c>
      <c r="C62" s="13" t="s">
        <v>326</v>
      </c>
      <c r="D62" s="13" t="s">
        <v>0</v>
      </c>
      <c r="E62" s="74"/>
      <c r="F62" s="75"/>
      <c r="G62" s="77">
        <f>ROUND(SUM(G63:G67),5)</f>
        <v>57802.07044</v>
      </c>
    </row>
    <row r="63" spans="1:7" ht="15">
      <c r="A63" s="12" t="s">
        <v>0</v>
      </c>
      <c r="B63" s="13" t="s">
        <v>0</v>
      </c>
      <c r="C63" s="13" t="s">
        <v>43</v>
      </c>
      <c r="D63" s="13" t="s">
        <v>21</v>
      </c>
      <c r="E63" s="74">
        <f>0.00794</f>
        <v>0.00794</v>
      </c>
      <c r="F63" s="75">
        <f>'Gia VL'!Q28</f>
        <v>4090909.09</v>
      </c>
      <c r="G63" s="76">
        <f>ROUND(E63*F63,5)</f>
        <v>32481.81817</v>
      </c>
    </row>
    <row r="64" spans="1:7" ht="15">
      <c r="A64" s="12" t="s">
        <v>0</v>
      </c>
      <c r="B64" s="13" t="s">
        <v>0</v>
      </c>
      <c r="C64" s="13" t="s">
        <v>44</v>
      </c>
      <c r="D64" s="13" t="s">
        <v>21</v>
      </c>
      <c r="E64" s="74">
        <f>0.0021</f>
        <v>0.0021</v>
      </c>
      <c r="F64" s="75">
        <f>'Gia VL'!Q29</f>
        <v>4090909.09</v>
      </c>
      <c r="G64" s="76">
        <f>ROUND(E64*F64,5)</f>
        <v>8590.90909</v>
      </c>
    </row>
    <row r="65" spans="1:7" ht="15">
      <c r="A65" s="12" t="s">
        <v>0</v>
      </c>
      <c r="B65" s="13" t="s">
        <v>0</v>
      </c>
      <c r="C65" s="13" t="s">
        <v>45</v>
      </c>
      <c r="D65" s="13" t="s">
        <v>21</v>
      </c>
      <c r="E65" s="74">
        <f>0.00335</f>
        <v>0.00335</v>
      </c>
      <c r="F65" s="75">
        <f>'Gia VL'!Q27</f>
        <v>4090909.09</v>
      </c>
      <c r="G65" s="76">
        <f>ROUND(E65*F65,5)</f>
        <v>13704.54545</v>
      </c>
    </row>
    <row r="66" spans="1:7" ht="15">
      <c r="A66" s="12" t="s">
        <v>0</v>
      </c>
      <c r="B66" s="13" t="s">
        <v>0</v>
      </c>
      <c r="C66" s="13" t="s">
        <v>46</v>
      </c>
      <c r="D66" s="13" t="s">
        <v>19</v>
      </c>
      <c r="E66" s="74">
        <f>0.15</f>
        <v>0.15</v>
      </c>
      <c r="F66" s="75">
        <f>ROUND('Gia VL'!Q47/1000,5)</f>
        <v>16350</v>
      </c>
      <c r="G66" s="76">
        <f>ROUND(E66*F66,5)</f>
        <v>2452.5</v>
      </c>
    </row>
    <row r="67" spans="1:7" ht="15">
      <c r="A67" s="12" t="s">
        <v>0</v>
      </c>
      <c r="B67" s="13" t="s">
        <v>0</v>
      </c>
      <c r="C67" s="13" t="s">
        <v>325</v>
      </c>
      <c r="D67" s="13" t="s">
        <v>324</v>
      </c>
      <c r="E67" s="74">
        <f>1</f>
        <v>1</v>
      </c>
      <c r="F67" s="75"/>
      <c r="G67" s="76">
        <f>ROUND(SUM(G63:G66)*E67/100,5)</f>
        <v>572.29773</v>
      </c>
    </row>
    <row r="68" spans="1:7" ht="15.75">
      <c r="A68" s="12" t="s">
        <v>0</v>
      </c>
      <c r="B68" s="13" t="s">
        <v>0</v>
      </c>
      <c r="C68" s="13" t="s">
        <v>319</v>
      </c>
      <c r="D68" s="13" t="s">
        <v>0</v>
      </c>
      <c r="E68" s="74"/>
      <c r="F68" s="75"/>
      <c r="G68" s="77">
        <f>ROUND(SUM(G69:G72),5)</f>
        <v>74903.4</v>
      </c>
    </row>
    <row r="69" spans="1:7" ht="15">
      <c r="A69" s="12" t="s">
        <v>0</v>
      </c>
      <c r="B69" s="13" t="s">
        <v>0</v>
      </c>
      <c r="C69" s="13" t="s">
        <v>47</v>
      </c>
      <c r="D69" s="13" t="s">
        <v>8</v>
      </c>
      <c r="E69" s="74">
        <f>0.297</f>
        <v>0.297</v>
      </c>
      <c r="F69" s="75">
        <f>'Gia NC,CM'!P10</f>
        <v>252200</v>
      </c>
      <c r="G69" s="76">
        <f>ROUND(E69*F69,5)</f>
        <v>74903.4</v>
      </c>
    </row>
    <row r="70" spans="1:7" ht="15">
      <c r="A70" s="12" t="s">
        <v>0</v>
      </c>
      <c r="B70" s="13" t="s">
        <v>0</v>
      </c>
      <c r="C70" s="13" t="s">
        <v>0</v>
      </c>
      <c r="D70" s="13" t="s">
        <v>0</v>
      </c>
      <c r="E70" s="74"/>
      <c r="F70" s="75"/>
      <c r="G70" s="76"/>
    </row>
    <row r="71" spans="1:7" ht="15">
      <c r="A71" s="12" t="s">
        <v>48</v>
      </c>
      <c r="B71" s="13" t="s">
        <v>49</v>
      </c>
      <c r="C71" s="13" t="s">
        <v>50</v>
      </c>
      <c r="D71" s="13" t="s">
        <v>5</v>
      </c>
      <c r="E71" s="74"/>
      <c r="F71" s="75"/>
      <c r="G71" s="76"/>
    </row>
    <row r="72" spans="1:7" ht="15">
      <c r="A72" s="12" t="s">
        <v>0</v>
      </c>
      <c r="B72" s="13" t="s">
        <v>0</v>
      </c>
      <c r="C72" s="13" t="s">
        <v>51</v>
      </c>
      <c r="D72" s="13" t="s">
        <v>0</v>
      </c>
      <c r="E72" s="74"/>
      <c r="F72" s="75"/>
      <c r="G72" s="76"/>
    </row>
    <row r="73" spans="1:7" ht="15.75">
      <c r="A73" s="12" t="s">
        <v>0</v>
      </c>
      <c r="B73" s="13" t="s">
        <v>0</v>
      </c>
      <c r="C73" s="13" t="s">
        <v>319</v>
      </c>
      <c r="D73" s="13" t="s">
        <v>0</v>
      </c>
      <c r="E73" s="74"/>
      <c r="F73" s="75"/>
      <c r="G73" s="77">
        <f>ROUND(SUM(G74:G74),5)</f>
        <v>11780.34088</v>
      </c>
    </row>
    <row r="74" spans="1:7" ht="15">
      <c r="A74" s="12" t="s">
        <v>0</v>
      </c>
      <c r="B74" s="13" t="s">
        <v>0</v>
      </c>
      <c r="C74" s="13" t="s">
        <v>7</v>
      </c>
      <c r="D74" s="13" t="s">
        <v>8</v>
      </c>
      <c r="E74" s="74">
        <f>0.0539</f>
        <v>0.0539</v>
      </c>
      <c r="F74" s="75">
        <f>'Gia NC,CM'!P8</f>
        <v>218559.2</v>
      </c>
      <c r="G74" s="76">
        <f>ROUND(E74*F74,5)</f>
        <v>11780.34088</v>
      </c>
    </row>
    <row r="75" spans="1:7" ht="15.75">
      <c r="A75" s="12" t="s">
        <v>0</v>
      </c>
      <c r="B75" s="13" t="s">
        <v>0</v>
      </c>
      <c r="C75" s="13" t="s">
        <v>320</v>
      </c>
      <c r="D75" s="13" t="s">
        <v>0</v>
      </c>
      <c r="E75" s="74"/>
      <c r="F75" s="75"/>
      <c r="G75" s="77">
        <f>ROUND(SUM(G76:G78),5)</f>
        <v>12638.29375</v>
      </c>
    </row>
    <row r="76" spans="1:7" ht="15">
      <c r="A76" s="12" t="s">
        <v>0</v>
      </c>
      <c r="B76" s="13" t="s">
        <v>0</v>
      </c>
      <c r="C76" s="13" t="s">
        <v>52</v>
      </c>
      <c r="D76" s="13" t="s">
        <v>10</v>
      </c>
      <c r="E76" s="74">
        <f>0.0335</f>
        <v>0.0335</v>
      </c>
      <c r="F76" s="75">
        <f>'Gia NC,CM'!P17</f>
        <v>377262.5</v>
      </c>
      <c r="G76" s="76">
        <f>ROUND(E76*F76,5)</f>
        <v>12638.29375</v>
      </c>
    </row>
    <row r="77" spans="1:7" ht="15">
      <c r="A77" s="12" t="s">
        <v>0</v>
      </c>
      <c r="B77" s="13" t="s">
        <v>0</v>
      </c>
      <c r="C77" s="13" t="s">
        <v>0</v>
      </c>
      <c r="D77" s="13" t="s">
        <v>0</v>
      </c>
      <c r="E77" s="74"/>
      <c r="F77" s="75"/>
      <c r="G77" s="76"/>
    </row>
    <row r="78" spans="1:7" ht="15">
      <c r="A78" s="12" t="s">
        <v>53</v>
      </c>
      <c r="B78" s="13" t="s">
        <v>54</v>
      </c>
      <c r="C78" s="13" t="s">
        <v>55</v>
      </c>
      <c r="D78" s="13" t="s">
        <v>56</v>
      </c>
      <c r="E78" s="74"/>
      <c r="F78" s="75"/>
      <c r="G78" s="76"/>
    </row>
    <row r="79" spans="1:7" ht="15.75">
      <c r="A79" s="12" t="s">
        <v>0</v>
      </c>
      <c r="B79" s="13" t="s">
        <v>0</v>
      </c>
      <c r="C79" s="13" t="s">
        <v>321</v>
      </c>
      <c r="D79" s="13" t="s">
        <v>0</v>
      </c>
      <c r="E79" s="74"/>
      <c r="F79" s="75"/>
      <c r="G79" s="77">
        <f>ROUND(SUM(G80:G80),5)</f>
        <v>2784000</v>
      </c>
    </row>
    <row r="80" spans="1:7" ht="15">
      <c r="A80" s="12" t="s">
        <v>0</v>
      </c>
      <c r="B80" s="13" t="s">
        <v>0</v>
      </c>
      <c r="C80" s="13" t="s">
        <v>57</v>
      </c>
      <c r="D80" s="13" t="s">
        <v>58</v>
      </c>
      <c r="E80" s="74">
        <f>1</f>
        <v>1</v>
      </c>
      <c r="F80" s="75">
        <f>'Gia VL'!Q21</f>
        <v>2784000</v>
      </c>
      <c r="G80" s="76">
        <f>ROUND(E80*F80,5)</f>
        <v>2784000</v>
      </c>
    </row>
    <row r="81" spans="1:7" ht="15.75">
      <c r="A81" s="12" t="s">
        <v>0</v>
      </c>
      <c r="B81" s="13" t="s">
        <v>0</v>
      </c>
      <c r="C81" s="13" t="s">
        <v>322</v>
      </c>
      <c r="D81" s="13" t="s">
        <v>0</v>
      </c>
      <c r="E81" s="74"/>
      <c r="F81" s="75"/>
      <c r="G81" s="77">
        <f>ROUND(SUM(G82:G82),5)</f>
        <v>411086</v>
      </c>
    </row>
    <row r="82" spans="1:7" ht="15">
      <c r="A82" s="12" t="s">
        <v>0</v>
      </c>
      <c r="B82" s="13" t="s">
        <v>0</v>
      </c>
      <c r="C82" s="13" t="s">
        <v>47</v>
      </c>
      <c r="D82" s="13" t="s">
        <v>8</v>
      </c>
      <c r="E82" s="74">
        <f>1.63</f>
        <v>1.63</v>
      </c>
      <c r="F82" s="75">
        <f>'Gia NC,CM'!P10</f>
        <v>252200</v>
      </c>
      <c r="G82" s="76">
        <f>ROUND(E82*F82,5)</f>
        <v>411086</v>
      </c>
    </row>
    <row r="83" spans="1:7" ht="15.75">
      <c r="A83" s="12" t="s">
        <v>0</v>
      </c>
      <c r="B83" s="13" t="s">
        <v>0</v>
      </c>
      <c r="C83" s="13" t="s">
        <v>323</v>
      </c>
      <c r="D83" s="13" t="s">
        <v>0</v>
      </c>
      <c r="E83" s="74"/>
      <c r="F83" s="75"/>
      <c r="G83" s="77">
        <f>ROUND(SUM(G84:G86),5)</f>
        <v>216825.93</v>
      </c>
    </row>
    <row r="84" spans="1:7" ht="15">
      <c r="A84" s="12" t="s">
        <v>0</v>
      </c>
      <c r="B84" s="13" t="s">
        <v>0</v>
      </c>
      <c r="C84" s="13" t="s">
        <v>59</v>
      </c>
      <c r="D84" s="13" t="s">
        <v>10</v>
      </c>
      <c r="E84" s="74">
        <f>0.15</f>
        <v>0.15</v>
      </c>
      <c r="F84" s="75">
        <f>'Gia NC,CM'!P11</f>
        <v>1445506.2</v>
      </c>
      <c r="G84" s="76">
        <f>ROUND(E84*F84,5)</f>
        <v>216825.93</v>
      </c>
    </row>
    <row r="85" spans="1:7" ht="15">
      <c r="A85" s="12" t="s">
        <v>0</v>
      </c>
      <c r="B85" s="13" t="s">
        <v>0</v>
      </c>
      <c r="C85" s="13" t="s">
        <v>0</v>
      </c>
      <c r="D85" s="13" t="s">
        <v>0</v>
      </c>
      <c r="E85" s="74"/>
      <c r="F85" s="75"/>
      <c r="G85" s="76"/>
    </row>
    <row r="86" spans="1:7" ht="15">
      <c r="A86" s="12" t="s">
        <v>60</v>
      </c>
      <c r="B86" s="13" t="s">
        <v>61</v>
      </c>
      <c r="C86" s="13" t="s">
        <v>62</v>
      </c>
      <c r="D86" s="13" t="s">
        <v>56</v>
      </c>
      <c r="E86" s="74"/>
      <c r="F86" s="75"/>
      <c r="G86" s="76"/>
    </row>
    <row r="87" spans="1:7" ht="15.75">
      <c r="A87" s="12" t="s">
        <v>0</v>
      </c>
      <c r="B87" s="13" t="s">
        <v>0</v>
      </c>
      <c r="C87" s="13" t="s">
        <v>321</v>
      </c>
      <c r="D87" s="13" t="s">
        <v>0</v>
      </c>
      <c r="E87" s="74"/>
      <c r="F87" s="75"/>
      <c r="G87" s="77">
        <f>ROUND(SUM(G88:G88),5)</f>
        <v>3420000</v>
      </c>
    </row>
    <row r="88" spans="1:7" ht="15">
      <c r="A88" s="12" t="s">
        <v>0</v>
      </c>
      <c r="B88" s="13" t="s">
        <v>0</v>
      </c>
      <c r="C88" s="13" t="s">
        <v>63</v>
      </c>
      <c r="D88" s="13" t="s">
        <v>58</v>
      </c>
      <c r="E88" s="74">
        <f>1</f>
        <v>1</v>
      </c>
      <c r="F88" s="75">
        <f>'Gia VL'!Q22</f>
        <v>3420000</v>
      </c>
      <c r="G88" s="76">
        <f>ROUND(E88*F88,5)</f>
        <v>3420000</v>
      </c>
    </row>
    <row r="89" spans="1:7" ht="15.75">
      <c r="A89" s="12" t="s">
        <v>0</v>
      </c>
      <c r="B89" s="13" t="s">
        <v>0</v>
      </c>
      <c r="C89" s="13" t="s">
        <v>322</v>
      </c>
      <c r="D89" s="13" t="s">
        <v>0</v>
      </c>
      <c r="E89" s="74"/>
      <c r="F89" s="75"/>
      <c r="G89" s="77">
        <f>ROUND(SUM(G90:G90),5)</f>
        <v>411086</v>
      </c>
    </row>
    <row r="90" spans="1:7" ht="15">
      <c r="A90" s="12" t="s">
        <v>0</v>
      </c>
      <c r="B90" s="13" t="s">
        <v>0</v>
      </c>
      <c r="C90" s="13" t="s">
        <v>47</v>
      </c>
      <c r="D90" s="13" t="s">
        <v>8</v>
      </c>
      <c r="E90" s="74">
        <f>1.63</f>
        <v>1.63</v>
      </c>
      <c r="F90" s="75">
        <f>'Gia NC,CM'!P10</f>
        <v>252200</v>
      </c>
      <c r="G90" s="76">
        <f>ROUND(E90*F90,5)</f>
        <v>411086</v>
      </c>
    </row>
    <row r="91" spans="1:7" ht="15.75">
      <c r="A91" s="12" t="s">
        <v>0</v>
      </c>
      <c r="B91" s="13" t="s">
        <v>0</v>
      </c>
      <c r="C91" s="13" t="s">
        <v>323</v>
      </c>
      <c r="D91" s="13" t="s">
        <v>0</v>
      </c>
      <c r="E91" s="74"/>
      <c r="F91" s="75"/>
      <c r="G91" s="77">
        <f>ROUND(SUM(G92:G94),5)</f>
        <v>216825.93</v>
      </c>
    </row>
    <row r="92" spans="1:7" ht="15">
      <c r="A92" s="12" t="s">
        <v>0</v>
      </c>
      <c r="B92" s="13" t="s">
        <v>0</v>
      </c>
      <c r="C92" s="13" t="s">
        <v>59</v>
      </c>
      <c r="D92" s="13" t="s">
        <v>10</v>
      </c>
      <c r="E92" s="74">
        <f>0.15</f>
        <v>0.15</v>
      </c>
      <c r="F92" s="75">
        <f>'Gia NC,CM'!P11</f>
        <v>1445506.2</v>
      </c>
      <c r="G92" s="76">
        <f>ROUND(E92*F92,5)</f>
        <v>216825.93</v>
      </c>
    </row>
    <row r="93" spans="1:7" ht="15">
      <c r="A93" s="12" t="s">
        <v>0</v>
      </c>
      <c r="B93" s="13" t="s">
        <v>0</v>
      </c>
      <c r="C93" s="13" t="s">
        <v>0</v>
      </c>
      <c r="D93" s="13" t="s">
        <v>0</v>
      </c>
      <c r="E93" s="74"/>
      <c r="F93" s="75"/>
      <c r="G93" s="76"/>
    </row>
    <row r="94" spans="1:7" ht="15">
      <c r="A94" s="12" t="s">
        <v>64</v>
      </c>
      <c r="B94" s="13" t="s">
        <v>65</v>
      </c>
      <c r="C94" s="13" t="s">
        <v>66</v>
      </c>
      <c r="D94" s="13" t="s">
        <v>56</v>
      </c>
      <c r="E94" s="74"/>
      <c r="F94" s="75"/>
      <c r="G94" s="76"/>
    </row>
    <row r="95" spans="1:7" ht="15.75">
      <c r="A95" s="12" t="s">
        <v>0</v>
      </c>
      <c r="B95" s="13" t="s">
        <v>0</v>
      </c>
      <c r="C95" s="13" t="s">
        <v>321</v>
      </c>
      <c r="D95" s="13" t="s">
        <v>0</v>
      </c>
      <c r="E95" s="74"/>
      <c r="F95" s="75"/>
      <c r="G95" s="77">
        <f>ROUND(SUM(G96:G96),5)</f>
        <v>4416000</v>
      </c>
    </row>
    <row r="96" spans="1:7" ht="15">
      <c r="A96" s="12" t="s">
        <v>0</v>
      </c>
      <c r="B96" s="13" t="s">
        <v>0</v>
      </c>
      <c r="C96" s="13" t="s">
        <v>67</v>
      </c>
      <c r="D96" s="13" t="s">
        <v>58</v>
      </c>
      <c r="E96" s="74">
        <f>1</f>
        <v>1</v>
      </c>
      <c r="F96" s="75">
        <f>'Gia VL'!Q19</f>
        <v>4416000</v>
      </c>
      <c r="G96" s="76">
        <f>ROUND(E96*F96,5)</f>
        <v>4416000</v>
      </c>
    </row>
    <row r="97" spans="1:7" ht="15.75">
      <c r="A97" s="12" t="s">
        <v>0</v>
      </c>
      <c r="B97" s="13" t="s">
        <v>0</v>
      </c>
      <c r="C97" s="13" t="s">
        <v>322</v>
      </c>
      <c r="D97" s="13" t="s">
        <v>0</v>
      </c>
      <c r="E97" s="74"/>
      <c r="F97" s="75"/>
      <c r="G97" s="77">
        <f>ROUND(SUM(G98:G98),5)</f>
        <v>411086</v>
      </c>
    </row>
    <row r="98" spans="1:7" ht="15">
      <c r="A98" s="12" t="s">
        <v>0</v>
      </c>
      <c r="B98" s="13" t="s">
        <v>0</v>
      </c>
      <c r="C98" s="13" t="s">
        <v>47</v>
      </c>
      <c r="D98" s="13" t="s">
        <v>8</v>
      </c>
      <c r="E98" s="74">
        <f>1.63</f>
        <v>1.63</v>
      </c>
      <c r="F98" s="75">
        <f>'Gia NC,CM'!P10</f>
        <v>252200</v>
      </c>
      <c r="G98" s="76">
        <f>ROUND(E98*F98,5)</f>
        <v>411086</v>
      </c>
    </row>
    <row r="99" spans="1:7" ht="15.75">
      <c r="A99" s="12" t="s">
        <v>0</v>
      </c>
      <c r="B99" s="13" t="s">
        <v>0</v>
      </c>
      <c r="C99" s="13" t="s">
        <v>323</v>
      </c>
      <c r="D99" s="13" t="s">
        <v>0</v>
      </c>
      <c r="E99" s="74"/>
      <c r="F99" s="75"/>
      <c r="G99" s="77">
        <f>ROUND(SUM(G100:G102),5)</f>
        <v>216825.93</v>
      </c>
    </row>
    <row r="100" spans="1:7" ht="15">
      <c r="A100" s="12" t="s">
        <v>0</v>
      </c>
      <c r="B100" s="13" t="s">
        <v>0</v>
      </c>
      <c r="C100" s="13" t="s">
        <v>59</v>
      </c>
      <c r="D100" s="13" t="s">
        <v>10</v>
      </c>
      <c r="E100" s="74">
        <f>0.15</f>
        <v>0.15</v>
      </c>
      <c r="F100" s="75">
        <f>'Gia NC,CM'!P11</f>
        <v>1445506.2</v>
      </c>
      <c r="G100" s="76">
        <f>ROUND(E100*F100,5)</f>
        <v>216825.93</v>
      </c>
    </row>
    <row r="101" spans="1:7" ht="15">
      <c r="A101" s="12" t="s">
        <v>0</v>
      </c>
      <c r="B101" s="13" t="s">
        <v>0</v>
      </c>
      <c r="C101" s="13" t="s">
        <v>0</v>
      </c>
      <c r="D101" s="13" t="s">
        <v>0</v>
      </c>
      <c r="E101" s="74"/>
      <c r="F101" s="75"/>
      <c r="G101" s="76"/>
    </row>
    <row r="102" spans="1:7" ht="15">
      <c r="A102" s="12" t="s">
        <v>68</v>
      </c>
      <c r="B102" s="13" t="s">
        <v>69</v>
      </c>
      <c r="C102" s="13" t="s">
        <v>70</v>
      </c>
      <c r="D102" s="13" t="s">
        <v>56</v>
      </c>
      <c r="E102" s="74"/>
      <c r="F102" s="75"/>
      <c r="G102" s="76"/>
    </row>
    <row r="103" spans="1:7" ht="15.75">
      <c r="A103" s="12" t="s">
        <v>0</v>
      </c>
      <c r="B103" s="13" t="s">
        <v>0</v>
      </c>
      <c r="C103" s="13" t="s">
        <v>321</v>
      </c>
      <c r="D103" s="13" t="s">
        <v>0</v>
      </c>
      <c r="E103" s="74"/>
      <c r="F103" s="75"/>
      <c r="G103" s="77">
        <f>ROUND(SUM(G104:G104),5)</f>
        <v>4644000</v>
      </c>
    </row>
    <row r="104" spans="1:7" ht="15">
      <c r="A104" s="12" t="s">
        <v>0</v>
      </c>
      <c r="B104" s="13" t="s">
        <v>0</v>
      </c>
      <c r="C104" s="13" t="s">
        <v>71</v>
      </c>
      <c r="D104" s="13" t="s">
        <v>58</v>
      </c>
      <c r="E104" s="74">
        <f>1</f>
        <v>1</v>
      </c>
      <c r="F104" s="75">
        <f>'Gia VL'!Q20</f>
        <v>4644000</v>
      </c>
      <c r="G104" s="76">
        <f>ROUND(E104*F104,5)</f>
        <v>4644000</v>
      </c>
    </row>
    <row r="105" spans="1:7" ht="15.75">
      <c r="A105" s="12" t="s">
        <v>0</v>
      </c>
      <c r="B105" s="13" t="s">
        <v>0</v>
      </c>
      <c r="C105" s="13" t="s">
        <v>322</v>
      </c>
      <c r="D105" s="13" t="s">
        <v>0</v>
      </c>
      <c r="E105" s="74"/>
      <c r="F105" s="75"/>
      <c r="G105" s="77">
        <f>ROUND(SUM(G106:G106),5)</f>
        <v>411086</v>
      </c>
    </row>
    <row r="106" spans="1:7" ht="15">
      <c r="A106" s="12" t="s">
        <v>0</v>
      </c>
      <c r="B106" s="13" t="s">
        <v>0</v>
      </c>
      <c r="C106" s="13" t="s">
        <v>47</v>
      </c>
      <c r="D106" s="13" t="s">
        <v>8</v>
      </c>
      <c r="E106" s="74">
        <f>1.63</f>
        <v>1.63</v>
      </c>
      <c r="F106" s="75">
        <f>'Gia NC,CM'!P10</f>
        <v>252200</v>
      </c>
      <c r="G106" s="76">
        <f>ROUND(E106*F106,5)</f>
        <v>411086</v>
      </c>
    </row>
    <row r="107" spans="1:7" ht="15.75">
      <c r="A107" s="12" t="s">
        <v>0</v>
      </c>
      <c r="B107" s="13" t="s">
        <v>0</v>
      </c>
      <c r="C107" s="13" t="s">
        <v>323</v>
      </c>
      <c r="D107" s="13" t="s">
        <v>0</v>
      </c>
      <c r="E107" s="74"/>
      <c r="F107" s="75"/>
      <c r="G107" s="77">
        <f>ROUND(SUM(G108:G110),5)</f>
        <v>216825.93</v>
      </c>
    </row>
    <row r="108" spans="1:7" ht="15">
      <c r="A108" s="12" t="s">
        <v>0</v>
      </c>
      <c r="B108" s="13" t="s">
        <v>0</v>
      </c>
      <c r="C108" s="13" t="s">
        <v>59</v>
      </c>
      <c r="D108" s="13" t="s">
        <v>10</v>
      </c>
      <c r="E108" s="74">
        <f>0.15</f>
        <v>0.15</v>
      </c>
      <c r="F108" s="75">
        <f>'Gia NC,CM'!P11</f>
        <v>1445506.2</v>
      </c>
      <c r="G108" s="76">
        <f>ROUND(E108*F108,5)</f>
        <v>216825.93</v>
      </c>
    </row>
    <row r="109" spans="1:7" ht="15">
      <c r="A109" s="12" t="s">
        <v>0</v>
      </c>
      <c r="B109" s="13" t="s">
        <v>0</v>
      </c>
      <c r="C109" s="13" t="s">
        <v>0</v>
      </c>
      <c r="D109" s="13" t="s">
        <v>0</v>
      </c>
      <c r="E109" s="74"/>
      <c r="F109" s="75"/>
      <c r="G109" s="76"/>
    </row>
    <row r="110" spans="1:7" ht="15">
      <c r="A110" s="12" t="s">
        <v>72</v>
      </c>
      <c r="B110" s="13" t="s">
        <v>73</v>
      </c>
      <c r="C110" s="13" t="s">
        <v>74</v>
      </c>
      <c r="D110" s="13" t="s">
        <v>75</v>
      </c>
      <c r="E110" s="74"/>
      <c r="F110" s="75"/>
      <c r="G110" s="76"/>
    </row>
    <row r="111" spans="1:7" ht="15.75">
      <c r="A111" s="12" t="s">
        <v>0</v>
      </c>
      <c r="B111" s="13" t="s">
        <v>0</v>
      </c>
      <c r="C111" s="13" t="s">
        <v>321</v>
      </c>
      <c r="D111" s="13" t="s">
        <v>0</v>
      </c>
      <c r="E111" s="74"/>
      <c r="F111" s="75"/>
      <c r="G111" s="77">
        <f>ROUND(SUM(G112:G113),5)</f>
        <v>1455741</v>
      </c>
    </row>
    <row r="112" spans="1:7" ht="15">
      <c r="A112" s="12" t="s">
        <v>0</v>
      </c>
      <c r="B112" s="13" t="s">
        <v>0</v>
      </c>
      <c r="C112" s="13" t="s">
        <v>76</v>
      </c>
      <c r="D112" s="13" t="s">
        <v>77</v>
      </c>
      <c r="E112" s="74">
        <f>1</f>
        <v>1</v>
      </c>
      <c r="F112" s="75">
        <f>'Gia VL'!Q17</f>
        <v>698289</v>
      </c>
      <c r="G112" s="76">
        <f>ROUND(E112*F112,5)</f>
        <v>698289</v>
      </c>
    </row>
    <row r="113" spans="1:7" ht="15">
      <c r="A113" s="12" t="s">
        <v>0</v>
      </c>
      <c r="B113" s="13" t="s">
        <v>0</v>
      </c>
      <c r="C113" s="13" t="s">
        <v>78</v>
      </c>
      <c r="D113" s="13" t="s">
        <v>79</v>
      </c>
      <c r="E113" s="74">
        <f>1</f>
        <v>1</v>
      </c>
      <c r="F113" s="75">
        <f>'Gia VL'!Q37</f>
        <v>757452</v>
      </c>
      <c r="G113" s="76">
        <f>ROUND(E113*F113,5)</f>
        <v>757452</v>
      </c>
    </row>
    <row r="114" spans="1:7" ht="15.75">
      <c r="A114" s="12" t="s">
        <v>0</v>
      </c>
      <c r="B114" s="13" t="s">
        <v>0</v>
      </c>
      <c r="C114" s="13" t="s">
        <v>322</v>
      </c>
      <c r="D114" s="13" t="s">
        <v>0</v>
      </c>
      <c r="E114" s="74"/>
      <c r="F114" s="75"/>
      <c r="G114" s="77">
        <f>ROUND(SUM(G115:G115),5)</f>
        <v>189150</v>
      </c>
    </row>
    <row r="115" spans="1:7" ht="15">
      <c r="A115" s="12" t="s">
        <v>0</v>
      </c>
      <c r="B115" s="13" t="s">
        <v>0</v>
      </c>
      <c r="C115" s="13" t="s">
        <v>47</v>
      </c>
      <c r="D115" s="13" t="s">
        <v>8</v>
      </c>
      <c r="E115" s="74">
        <f>0.75</f>
        <v>0.75</v>
      </c>
      <c r="F115" s="75">
        <f>'Gia NC,CM'!P10</f>
        <v>252200</v>
      </c>
      <c r="G115" s="76">
        <f>ROUND(E115*F115,5)</f>
        <v>189150</v>
      </c>
    </row>
    <row r="116" spans="1:7" ht="15.75">
      <c r="A116" s="12" t="s">
        <v>0</v>
      </c>
      <c r="B116" s="13" t="s">
        <v>0</v>
      </c>
      <c r="C116" s="13" t="s">
        <v>323</v>
      </c>
      <c r="D116" s="13" t="s">
        <v>0</v>
      </c>
      <c r="E116" s="74"/>
      <c r="F116" s="75"/>
      <c r="G116" s="77">
        <f>ROUND(SUM(G117:G119),5)</f>
        <v>257774.808</v>
      </c>
    </row>
    <row r="117" spans="1:7" ht="15">
      <c r="A117" s="12" t="s">
        <v>0</v>
      </c>
      <c r="B117" s="13" t="s">
        <v>0</v>
      </c>
      <c r="C117" s="13" t="s">
        <v>80</v>
      </c>
      <c r="D117" s="13" t="s">
        <v>10</v>
      </c>
      <c r="E117" s="74">
        <f>0.17</f>
        <v>0.17</v>
      </c>
      <c r="F117" s="75">
        <f>'Gia NC,CM'!P18</f>
        <v>1516322.4</v>
      </c>
      <c r="G117" s="76">
        <f>ROUND(E117*F117,5)</f>
        <v>257774.808</v>
      </c>
    </row>
    <row r="118" spans="1:7" ht="15">
      <c r="A118" s="12" t="s">
        <v>0</v>
      </c>
      <c r="B118" s="13" t="s">
        <v>0</v>
      </c>
      <c r="C118" s="13" t="s">
        <v>0</v>
      </c>
      <c r="D118" s="13" t="s">
        <v>0</v>
      </c>
      <c r="E118" s="74"/>
      <c r="F118" s="75"/>
      <c r="G118" s="76"/>
    </row>
    <row r="119" spans="1:7" ht="15">
      <c r="A119" s="12" t="s">
        <v>81</v>
      </c>
      <c r="B119" s="13" t="s">
        <v>82</v>
      </c>
      <c r="C119" s="13" t="s">
        <v>83</v>
      </c>
      <c r="D119" s="13" t="s">
        <v>75</v>
      </c>
      <c r="E119" s="74"/>
      <c r="F119" s="75"/>
      <c r="G119" s="76"/>
    </row>
    <row r="120" spans="1:7" ht="15.75">
      <c r="A120" s="12" t="s">
        <v>0</v>
      </c>
      <c r="B120" s="13" t="s">
        <v>0</v>
      </c>
      <c r="C120" s="13" t="s">
        <v>321</v>
      </c>
      <c r="D120" s="13" t="s">
        <v>0</v>
      </c>
      <c r="E120" s="74"/>
      <c r="F120" s="75"/>
      <c r="G120" s="77">
        <f>ROUND(SUM(G121:G122),5)</f>
        <v>1537819</v>
      </c>
    </row>
    <row r="121" spans="1:7" ht="15">
      <c r="A121" s="12" t="s">
        <v>0</v>
      </c>
      <c r="B121" s="13" t="s">
        <v>0</v>
      </c>
      <c r="C121" s="13" t="s">
        <v>84</v>
      </c>
      <c r="D121" s="13" t="s">
        <v>77</v>
      </c>
      <c r="E121" s="74">
        <f>1</f>
        <v>1</v>
      </c>
      <c r="F121" s="75">
        <f>'Gia VL'!Q18</f>
        <v>780367</v>
      </c>
      <c r="G121" s="76">
        <f>ROUND(E121*F121,5)</f>
        <v>780367</v>
      </c>
    </row>
    <row r="122" spans="1:7" ht="15">
      <c r="A122" s="12" t="s">
        <v>0</v>
      </c>
      <c r="B122" s="13" t="s">
        <v>0</v>
      </c>
      <c r="C122" s="13" t="s">
        <v>78</v>
      </c>
      <c r="D122" s="13" t="s">
        <v>79</v>
      </c>
      <c r="E122" s="74">
        <f>1</f>
        <v>1</v>
      </c>
      <c r="F122" s="75">
        <f>'Gia VL'!Q37</f>
        <v>757452</v>
      </c>
      <c r="G122" s="76">
        <f>ROUND(E122*F122,5)</f>
        <v>757452</v>
      </c>
    </row>
    <row r="123" spans="1:7" ht="15.75">
      <c r="A123" s="12" t="s">
        <v>0</v>
      </c>
      <c r="B123" s="13" t="s">
        <v>0</v>
      </c>
      <c r="C123" s="13" t="s">
        <v>322</v>
      </c>
      <c r="D123" s="13" t="s">
        <v>0</v>
      </c>
      <c r="E123" s="74"/>
      <c r="F123" s="75"/>
      <c r="G123" s="77">
        <f>ROUND(SUM(G124:G124),5)</f>
        <v>189150</v>
      </c>
    </row>
    <row r="124" spans="1:7" ht="15">
      <c r="A124" s="12" t="s">
        <v>0</v>
      </c>
      <c r="B124" s="13" t="s">
        <v>0</v>
      </c>
      <c r="C124" s="13" t="s">
        <v>47</v>
      </c>
      <c r="D124" s="13" t="s">
        <v>8</v>
      </c>
      <c r="E124" s="74">
        <f>0.75</f>
        <v>0.75</v>
      </c>
      <c r="F124" s="75">
        <f>'Gia NC,CM'!P10</f>
        <v>252200</v>
      </c>
      <c r="G124" s="76">
        <f>ROUND(E124*F124,5)</f>
        <v>189150</v>
      </c>
    </row>
    <row r="125" spans="1:7" ht="15.75">
      <c r="A125" s="12" t="s">
        <v>0</v>
      </c>
      <c r="B125" s="13" t="s">
        <v>0</v>
      </c>
      <c r="C125" s="13" t="s">
        <v>323</v>
      </c>
      <c r="D125" s="13" t="s">
        <v>0</v>
      </c>
      <c r="E125" s="74"/>
      <c r="F125" s="75"/>
      <c r="G125" s="77">
        <f>ROUND(SUM(G126:G128),5)</f>
        <v>257774.808</v>
      </c>
    </row>
    <row r="126" spans="1:7" ht="15">
      <c r="A126" s="12" t="s">
        <v>0</v>
      </c>
      <c r="B126" s="13" t="s">
        <v>0</v>
      </c>
      <c r="C126" s="13" t="s">
        <v>80</v>
      </c>
      <c r="D126" s="13" t="s">
        <v>10</v>
      </c>
      <c r="E126" s="74">
        <f>0.17</f>
        <v>0.17</v>
      </c>
      <c r="F126" s="75">
        <f>'Gia NC,CM'!P18</f>
        <v>1516322.4</v>
      </c>
      <c r="G126" s="76">
        <f>ROUND(E126*F126,5)</f>
        <v>257774.808</v>
      </c>
    </row>
    <row r="127" spans="1:7" ht="15">
      <c r="A127" s="12" t="s">
        <v>0</v>
      </c>
      <c r="B127" s="13" t="s">
        <v>0</v>
      </c>
      <c r="C127" s="13" t="s">
        <v>0</v>
      </c>
      <c r="D127" s="13" t="s">
        <v>0</v>
      </c>
      <c r="E127" s="74"/>
      <c r="F127" s="75"/>
      <c r="G127" s="76"/>
    </row>
    <row r="128" spans="1:7" ht="15">
      <c r="A128" s="12" t="s">
        <v>85</v>
      </c>
      <c r="B128" s="13" t="s">
        <v>86</v>
      </c>
      <c r="C128" s="13" t="s">
        <v>87</v>
      </c>
      <c r="D128" s="13" t="s">
        <v>88</v>
      </c>
      <c r="E128" s="74"/>
      <c r="F128" s="75"/>
      <c r="G128" s="76"/>
    </row>
    <row r="129" spans="1:7" ht="15.75">
      <c r="A129" s="12" t="s">
        <v>0</v>
      </c>
      <c r="B129" s="13" t="s">
        <v>0</v>
      </c>
      <c r="C129" s="13" t="s">
        <v>321</v>
      </c>
      <c r="D129" s="13" t="s">
        <v>0</v>
      </c>
      <c r="E129" s="74"/>
      <c r="F129" s="75"/>
      <c r="G129" s="77">
        <f>ROUND(SUM(G130:G130),5)</f>
        <v>8491000</v>
      </c>
    </row>
    <row r="130" spans="1:7" ht="15">
      <c r="A130" s="12" t="s">
        <v>0</v>
      </c>
      <c r="B130" s="13" t="s">
        <v>0</v>
      </c>
      <c r="C130" s="13" t="s">
        <v>89</v>
      </c>
      <c r="D130" s="13" t="s">
        <v>77</v>
      </c>
      <c r="E130" s="74">
        <f>1</f>
        <v>1</v>
      </c>
      <c r="F130" s="75">
        <f>'Gia VL'!Q69</f>
        <v>8491000</v>
      </c>
      <c r="G130" s="76">
        <f>ROUND(E130*F130,5)</f>
        <v>8491000</v>
      </c>
    </row>
    <row r="131" spans="1:7" ht="15.75">
      <c r="A131" s="12" t="s">
        <v>0</v>
      </c>
      <c r="B131" s="13" t="s">
        <v>0</v>
      </c>
      <c r="C131" s="13" t="s">
        <v>322</v>
      </c>
      <c r="D131" s="13" t="s">
        <v>0</v>
      </c>
      <c r="E131" s="74"/>
      <c r="F131" s="75"/>
      <c r="G131" s="77">
        <f>ROUND(SUM(G132:G132),5)</f>
        <v>65572</v>
      </c>
    </row>
    <row r="132" spans="1:7" ht="15">
      <c r="A132" s="12" t="s">
        <v>0</v>
      </c>
      <c r="B132" s="13" t="s">
        <v>0</v>
      </c>
      <c r="C132" s="13" t="s">
        <v>47</v>
      </c>
      <c r="D132" s="13" t="s">
        <v>8</v>
      </c>
      <c r="E132" s="74">
        <f>0.26</f>
        <v>0.26</v>
      </c>
      <c r="F132" s="75">
        <f>'Gia NC,CM'!P10</f>
        <v>252200</v>
      </c>
      <c r="G132" s="76">
        <f>ROUND(E132*F132,5)</f>
        <v>65572</v>
      </c>
    </row>
    <row r="133" spans="1:7" ht="15.75">
      <c r="A133" s="12" t="s">
        <v>0</v>
      </c>
      <c r="B133" s="13" t="s">
        <v>0</v>
      </c>
      <c r="C133" s="13" t="s">
        <v>323</v>
      </c>
      <c r="D133" s="13" t="s">
        <v>0</v>
      </c>
      <c r="E133" s="74"/>
      <c r="F133" s="75"/>
      <c r="G133" s="77">
        <f>ROUND(SUM(G134:G136),5)</f>
        <v>197121.912</v>
      </c>
    </row>
    <row r="134" spans="1:7" ht="15">
      <c r="A134" s="12" t="s">
        <v>0</v>
      </c>
      <c r="B134" s="13" t="s">
        <v>0</v>
      </c>
      <c r="C134" s="13" t="s">
        <v>80</v>
      </c>
      <c r="D134" s="13" t="s">
        <v>10</v>
      </c>
      <c r="E134" s="74">
        <f>0.13</f>
        <v>0.13</v>
      </c>
      <c r="F134" s="75">
        <f>'Gia NC,CM'!P18</f>
        <v>1516322.4</v>
      </c>
      <c r="G134" s="76">
        <f>ROUND(E134*F134,5)</f>
        <v>197121.912</v>
      </c>
    </row>
    <row r="135" spans="1:7" ht="15">
      <c r="A135" s="12" t="s">
        <v>0</v>
      </c>
      <c r="B135" s="13" t="s">
        <v>0</v>
      </c>
      <c r="C135" s="13" t="s">
        <v>0</v>
      </c>
      <c r="D135" s="13" t="s">
        <v>0</v>
      </c>
      <c r="E135" s="74"/>
      <c r="F135" s="75"/>
      <c r="G135" s="76"/>
    </row>
    <row r="136" spans="1:7" ht="15">
      <c r="A136" s="12" t="s">
        <v>90</v>
      </c>
      <c r="B136" s="13" t="s">
        <v>91</v>
      </c>
      <c r="C136" s="13" t="s">
        <v>92</v>
      </c>
      <c r="D136" s="13" t="s">
        <v>93</v>
      </c>
      <c r="E136" s="74"/>
      <c r="F136" s="75"/>
      <c r="G136" s="76"/>
    </row>
    <row r="137" spans="1:7" ht="15.75">
      <c r="A137" s="12" t="s">
        <v>0</v>
      </c>
      <c r="B137" s="13" t="s">
        <v>0</v>
      </c>
      <c r="C137" s="13" t="s">
        <v>321</v>
      </c>
      <c r="D137" s="13" t="s">
        <v>0</v>
      </c>
      <c r="E137" s="74"/>
      <c r="F137" s="75"/>
      <c r="G137" s="77">
        <f>ROUND(SUM(G138:G140),5)</f>
        <v>18248206</v>
      </c>
    </row>
    <row r="138" spans="1:7" ht="15">
      <c r="A138" s="12" t="s">
        <v>0</v>
      </c>
      <c r="B138" s="13" t="s">
        <v>0</v>
      </c>
      <c r="C138" s="13" t="s">
        <v>94</v>
      </c>
      <c r="D138" s="13" t="s">
        <v>77</v>
      </c>
      <c r="E138" s="74">
        <f>1</f>
        <v>1</v>
      </c>
      <c r="F138" s="75">
        <f>'Gia VL'!Q40</f>
        <v>17029950</v>
      </c>
      <c r="G138" s="76">
        <f>ROUND(E138*F138,5)</f>
        <v>17029950</v>
      </c>
    </row>
    <row r="139" spans="1:7" ht="15">
      <c r="A139" s="12" t="s">
        <v>0</v>
      </c>
      <c r="B139" s="13" t="s">
        <v>0</v>
      </c>
      <c r="C139" s="13" t="s">
        <v>95</v>
      </c>
      <c r="D139" s="13" t="s">
        <v>77</v>
      </c>
      <c r="E139" s="74">
        <f>1</f>
        <v>1</v>
      </c>
      <c r="F139" s="75">
        <f>'Gia VL'!Q45</f>
        <v>1070765</v>
      </c>
      <c r="G139" s="76">
        <f>ROUND(E139*F139,5)</f>
        <v>1070765</v>
      </c>
    </row>
    <row r="140" spans="1:7" ht="15">
      <c r="A140" s="12" t="s">
        <v>0</v>
      </c>
      <c r="B140" s="13" t="s">
        <v>0</v>
      </c>
      <c r="C140" s="13" t="s">
        <v>96</v>
      </c>
      <c r="D140" s="13" t="s">
        <v>77</v>
      </c>
      <c r="E140" s="74">
        <f>1</f>
        <v>1</v>
      </c>
      <c r="F140" s="75">
        <f>'Gia VL'!Q26</f>
        <v>147491</v>
      </c>
      <c r="G140" s="76">
        <f>ROUND(E140*F140,5)</f>
        <v>147491</v>
      </c>
    </row>
    <row r="141" spans="1:7" ht="15.75">
      <c r="A141" s="12" t="s">
        <v>0</v>
      </c>
      <c r="B141" s="13" t="s">
        <v>0</v>
      </c>
      <c r="C141" s="13" t="s">
        <v>322</v>
      </c>
      <c r="D141" s="13" t="s">
        <v>0</v>
      </c>
      <c r="E141" s="74"/>
      <c r="F141" s="75"/>
      <c r="G141" s="77">
        <f>ROUND(SUM(G142:G144),5)</f>
        <v>385866</v>
      </c>
    </row>
    <row r="142" spans="1:7" ht="15">
      <c r="A142" s="12" t="s">
        <v>0</v>
      </c>
      <c r="B142" s="13" t="s">
        <v>0</v>
      </c>
      <c r="C142" s="13" t="s">
        <v>47</v>
      </c>
      <c r="D142" s="13" t="s">
        <v>8</v>
      </c>
      <c r="E142" s="74">
        <f>1.53</f>
        <v>1.53</v>
      </c>
      <c r="F142" s="75">
        <f>'Gia NC,CM'!P10</f>
        <v>252200</v>
      </c>
      <c r="G142" s="76">
        <f>ROUND(E142*F142,5)</f>
        <v>385866</v>
      </c>
    </row>
    <row r="143" spans="1:7" ht="15">
      <c r="A143" s="12" t="s">
        <v>0</v>
      </c>
      <c r="B143" s="13" t="s">
        <v>0</v>
      </c>
      <c r="C143" s="13" t="s">
        <v>0</v>
      </c>
      <c r="D143" s="13" t="s">
        <v>0</v>
      </c>
      <c r="E143" s="74"/>
      <c r="F143" s="75"/>
      <c r="G143" s="76"/>
    </row>
    <row r="144" spans="1:7" ht="15">
      <c r="A144" s="12" t="s">
        <v>97</v>
      </c>
      <c r="B144" s="13" t="s">
        <v>98</v>
      </c>
      <c r="C144" s="13" t="s">
        <v>99</v>
      </c>
      <c r="D144" s="13" t="s">
        <v>88</v>
      </c>
      <c r="E144" s="74"/>
      <c r="F144" s="75"/>
      <c r="G144" s="76"/>
    </row>
    <row r="145" spans="1:7" ht="15.75">
      <c r="A145" s="12" t="s">
        <v>0</v>
      </c>
      <c r="B145" s="13" t="s">
        <v>0</v>
      </c>
      <c r="C145" s="13" t="s">
        <v>321</v>
      </c>
      <c r="D145" s="13" t="s">
        <v>0</v>
      </c>
      <c r="E145" s="74"/>
      <c r="F145" s="75"/>
      <c r="G145" s="77">
        <f>ROUND(SUM(G146:G148),5)</f>
        <v>98506.4856</v>
      </c>
    </row>
    <row r="146" spans="1:7" ht="15">
      <c r="A146" s="12" t="s">
        <v>0</v>
      </c>
      <c r="B146" s="13" t="s">
        <v>0</v>
      </c>
      <c r="C146" s="13" t="s">
        <v>100</v>
      </c>
      <c r="D146" s="13" t="s">
        <v>19</v>
      </c>
      <c r="E146" s="74">
        <f>67.9</f>
        <v>67.9</v>
      </c>
      <c r="F146" s="75">
        <f>ROUND('Gia VL'!Q38/1000,5)</f>
        <v>41.664</v>
      </c>
      <c r="G146" s="76">
        <f>ROUND(E146*F146,5)</f>
        <v>2828.9856</v>
      </c>
    </row>
    <row r="147" spans="1:7" ht="15">
      <c r="A147" s="12" t="s">
        <v>0</v>
      </c>
      <c r="B147" s="13" t="s">
        <v>0</v>
      </c>
      <c r="C147" s="13" t="s">
        <v>101</v>
      </c>
      <c r="D147" s="13" t="s">
        <v>79</v>
      </c>
      <c r="E147" s="74">
        <f>2</f>
        <v>2</v>
      </c>
      <c r="F147" s="75">
        <f>'Gia VL'!Q67</f>
        <v>9250</v>
      </c>
      <c r="G147" s="76">
        <f>ROUND(E147*F147,5)</f>
        <v>18500</v>
      </c>
    </row>
    <row r="148" spans="1:7" ht="15">
      <c r="A148" s="12" t="s">
        <v>0</v>
      </c>
      <c r="B148" s="13" t="s">
        <v>0</v>
      </c>
      <c r="C148" s="13" t="s">
        <v>102</v>
      </c>
      <c r="D148" s="13" t="s">
        <v>103</v>
      </c>
      <c r="E148" s="74">
        <f>2.5</f>
        <v>2.5</v>
      </c>
      <c r="F148" s="75">
        <f>'Gia VL'!Q25</f>
        <v>30871</v>
      </c>
      <c r="G148" s="76">
        <f>ROUND(E148*F148,5)</f>
        <v>77177.5</v>
      </c>
    </row>
    <row r="149" spans="1:7" ht="15.75">
      <c r="A149" s="12" t="s">
        <v>0</v>
      </c>
      <c r="B149" s="13" t="s">
        <v>0</v>
      </c>
      <c r="C149" s="13" t="s">
        <v>322</v>
      </c>
      <c r="D149" s="13" t="s">
        <v>0</v>
      </c>
      <c r="E149" s="74"/>
      <c r="F149" s="75"/>
      <c r="G149" s="77">
        <f>ROUND(SUM(G150:G150),5)</f>
        <v>83226</v>
      </c>
    </row>
    <row r="150" spans="1:7" ht="15">
      <c r="A150" s="12" t="s">
        <v>0</v>
      </c>
      <c r="B150" s="13" t="s">
        <v>0</v>
      </c>
      <c r="C150" s="13" t="s">
        <v>47</v>
      </c>
      <c r="D150" s="13" t="s">
        <v>8</v>
      </c>
      <c r="E150" s="74">
        <f>0.33</f>
        <v>0.33</v>
      </c>
      <c r="F150" s="75">
        <f>'Gia NC,CM'!P10</f>
        <v>252200</v>
      </c>
      <c r="G150" s="76">
        <f>ROUND(E150*F150,5)</f>
        <v>83226</v>
      </c>
    </row>
    <row r="151" spans="1:7" ht="15.75">
      <c r="A151" s="12" t="s">
        <v>0</v>
      </c>
      <c r="B151" s="13" t="s">
        <v>0</v>
      </c>
      <c r="C151" s="13" t="s">
        <v>323</v>
      </c>
      <c r="D151" s="13" t="s">
        <v>0</v>
      </c>
      <c r="E151" s="74"/>
      <c r="F151" s="75"/>
      <c r="G151" s="77">
        <f>ROUND(SUM(G152:G155),5)</f>
        <v>350273.85</v>
      </c>
    </row>
    <row r="152" spans="1:7" ht="15">
      <c r="A152" s="12" t="s">
        <v>0</v>
      </c>
      <c r="B152" s="13" t="s">
        <v>0</v>
      </c>
      <c r="C152" s="13" t="s">
        <v>104</v>
      </c>
      <c r="D152" s="13" t="s">
        <v>10</v>
      </c>
      <c r="E152" s="74">
        <f>0.3</f>
        <v>0.3</v>
      </c>
      <c r="F152" s="75">
        <f>'Gia NC,CM'!P12</f>
        <v>409418.3</v>
      </c>
      <c r="G152" s="76">
        <f>ROUND(E152*F152,5)</f>
        <v>122825.49</v>
      </c>
    </row>
    <row r="153" spans="1:7" ht="15">
      <c r="A153" s="12" t="s">
        <v>0</v>
      </c>
      <c r="B153" s="13" t="s">
        <v>0</v>
      </c>
      <c r="C153" s="13" t="s">
        <v>105</v>
      </c>
      <c r="D153" s="13" t="s">
        <v>10</v>
      </c>
      <c r="E153" s="74">
        <f>0.15</f>
        <v>0.15</v>
      </c>
      <c r="F153" s="75">
        <f>'Gia NC,CM'!P19</f>
        <v>1516322.4</v>
      </c>
      <c r="G153" s="76">
        <f>ROUND(E153*F153,5)</f>
        <v>227448.36</v>
      </c>
    </row>
    <row r="154" spans="1:7" ht="15">
      <c r="A154" s="12" t="s">
        <v>0</v>
      </c>
      <c r="B154" s="13" t="s">
        <v>0</v>
      </c>
      <c r="C154" s="13" t="s">
        <v>0</v>
      </c>
      <c r="D154" s="13" t="s">
        <v>0</v>
      </c>
      <c r="E154" s="74"/>
      <c r="F154" s="75"/>
      <c r="G154" s="76"/>
    </row>
    <row r="155" spans="1:7" ht="15">
      <c r="A155" s="12" t="s">
        <v>106</v>
      </c>
      <c r="B155" s="13" t="s">
        <v>107</v>
      </c>
      <c r="C155" s="13" t="s">
        <v>108</v>
      </c>
      <c r="D155" s="13" t="s">
        <v>88</v>
      </c>
      <c r="E155" s="74"/>
      <c r="F155" s="75"/>
      <c r="G155" s="76"/>
    </row>
    <row r="156" spans="1:7" ht="15.75">
      <c r="A156" s="12" t="s">
        <v>0</v>
      </c>
      <c r="B156" s="13" t="s">
        <v>0</v>
      </c>
      <c r="C156" s="13" t="s">
        <v>321</v>
      </c>
      <c r="D156" s="13" t="s">
        <v>0</v>
      </c>
      <c r="E156" s="74"/>
      <c r="F156" s="75"/>
      <c r="G156" s="77">
        <f>ROUND(SUM(G157:G157),5)</f>
        <v>569964</v>
      </c>
    </row>
    <row r="157" spans="1:7" ht="15">
      <c r="A157" s="12" t="s">
        <v>0</v>
      </c>
      <c r="B157" s="13" t="s">
        <v>0</v>
      </c>
      <c r="C157" s="13" t="s">
        <v>109</v>
      </c>
      <c r="D157" s="13" t="s">
        <v>77</v>
      </c>
      <c r="E157" s="74">
        <f>1</f>
        <v>1</v>
      </c>
      <c r="F157" s="75">
        <f>'Gia VL'!Q39</f>
        <v>569964</v>
      </c>
      <c r="G157" s="76">
        <f>ROUND(E157*F157,5)</f>
        <v>569964</v>
      </c>
    </row>
    <row r="158" spans="1:7" ht="15.75">
      <c r="A158" s="12" t="s">
        <v>0</v>
      </c>
      <c r="B158" s="13" t="s">
        <v>0</v>
      </c>
      <c r="C158" s="13" t="s">
        <v>322</v>
      </c>
      <c r="D158" s="13" t="s">
        <v>0</v>
      </c>
      <c r="E158" s="74"/>
      <c r="F158" s="75"/>
      <c r="G158" s="77">
        <f>ROUND(SUM(G159:G159),5)</f>
        <v>78182</v>
      </c>
    </row>
    <row r="159" spans="1:7" ht="15">
      <c r="A159" s="12" t="s">
        <v>0</v>
      </c>
      <c r="B159" s="13" t="s">
        <v>0</v>
      </c>
      <c r="C159" s="13" t="s">
        <v>47</v>
      </c>
      <c r="D159" s="13" t="s">
        <v>8</v>
      </c>
      <c r="E159" s="74">
        <f>0.31</f>
        <v>0.31</v>
      </c>
      <c r="F159" s="75">
        <f>'Gia NC,CM'!P10</f>
        <v>252200</v>
      </c>
      <c r="G159" s="76">
        <f>ROUND(E159*F159,5)</f>
        <v>78182</v>
      </c>
    </row>
    <row r="160" spans="1:7" ht="15.75">
      <c r="A160" s="12" t="s">
        <v>0</v>
      </c>
      <c r="B160" s="13" t="s">
        <v>0</v>
      </c>
      <c r="C160" s="13" t="s">
        <v>323</v>
      </c>
      <c r="D160" s="13" t="s">
        <v>0</v>
      </c>
      <c r="E160" s="74"/>
      <c r="F160" s="75"/>
      <c r="G160" s="77">
        <f>ROUND(SUM(G161:G164),5)</f>
        <v>40941.83</v>
      </c>
    </row>
    <row r="161" spans="1:7" ht="15">
      <c r="A161" s="12" t="s">
        <v>0</v>
      </c>
      <c r="B161" s="13" t="s">
        <v>0</v>
      </c>
      <c r="C161" s="13" t="s">
        <v>104</v>
      </c>
      <c r="D161" s="13" t="s">
        <v>10</v>
      </c>
      <c r="E161" s="74">
        <f>0.1</f>
        <v>0.1</v>
      </c>
      <c r="F161" s="75">
        <f>'Gia NC,CM'!P12</f>
        <v>409418.3</v>
      </c>
      <c r="G161" s="76">
        <f>ROUND(E161*F161,5)</f>
        <v>40941.83</v>
      </c>
    </row>
    <row r="162" spans="1:7" ht="15">
      <c r="A162" s="12" t="s">
        <v>0</v>
      </c>
      <c r="B162" s="13" t="s">
        <v>0</v>
      </c>
      <c r="C162" s="13" t="s">
        <v>0</v>
      </c>
      <c r="D162" s="13" t="s">
        <v>0</v>
      </c>
      <c r="E162" s="74"/>
      <c r="F162" s="75"/>
      <c r="G162" s="76"/>
    </row>
    <row r="163" spans="1:7" ht="15">
      <c r="A163" s="12" t="s">
        <v>110</v>
      </c>
      <c r="B163" s="13" t="s">
        <v>111</v>
      </c>
      <c r="C163" s="13" t="s">
        <v>112</v>
      </c>
      <c r="D163" s="13" t="s">
        <v>113</v>
      </c>
      <c r="E163" s="74"/>
      <c r="F163" s="75"/>
      <c r="G163" s="76"/>
    </row>
    <row r="164" spans="1:7" ht="15">
      <c r="A164" s="12" t="s">
        <v>0</v>
      </c>
      <c r="B164" s="13" t="s">
        <v>0</v>
      </c>
      <c r="C164" s="13" t="s">
        <v>114</v>
      </c>
      <c r="D164" s="13" t="s">
        <v>0</v>
      </c>
      <c r="E164" s="74"/>
      <c r="F164" s="75"/>
      <c r="G164" s="76"/>
    </row>
    <row r="165" spans="1:7" ht="15.75">
      <c r="A165" s="12" t="s">
        <v>0</v>
      </c>
      <c r="B165" s="13" t="s">
        <v>0</v>
      </c>
      <c r="C165" s="13" t="s">
        <v>321</v>
      </c>
      <c r="D165" s="13" t="s">
        <v>0</v>
      </c>
      <c r="E165" s="74"/>
      <c r="F165" s="75"/>
      <c r="G165" s="77">
        <f>ROUND(SUM(G166:G166),5)</f>
        <v>43185</v>
      </c>
    </row>
    <row r="166" spans="1:7" ht="15">
      <c r="A166" s="12" t="s">
        <v>0</v>
      </c>
      <c r="B166" s="13" t="s">
        <v>0</v>
      </c>
      <c r="C166" s="13" t="s">
        <v>115</v>
      </c>
      <c r="D166" s="13" t="s">
        <v>103</v>
      </c>
      <c r="E166" s="74">
        <f>1</f>
        <v>1</v>
      </c>
      <c r="F166" s="75">
        <f>'Gia VL'!Q24</f>
        <v>43185</v>
      </c>
      <c r="G166" s="76">
        <f>ROUND(E166*F166,5)</f>
        <v>43185</v>
      </c>
    </row>
    <row r="167" spans="1:7" ht="15.75">
      <c r="A167" s="12" t="s">
        <v>0</v>
      </c>
      <c r="B167" s="13" t="s">
        <v>0</v>
      </c>
      <c r="C167" s="13" t="s">
        <v>322</v>
      </c>
      <c r="D167" s="13" t="s">
        <v>0</v>
      </c>
      <c r="E167" s="74"/>
      <c r="F167" s="75"/>
      <c r="G167" s="77">
        <f>ROUND(SUM(G168:G168),5)</f>
        <v>2471.56</v>
      </c>
    </row>
    <row r="168" spans="1:7" ht="15">
      <c r="A168" s="12" t="s">
        <v>0</v>
      </c>
      <c r="B168" s="13" t="s">
        <v>0</v>
      </c>
      <c r="C168" s="13" t="s">
        <v>47</v>
      </c>
      <c r="D168" s="13" t="s">
        <v>8</v>
      </c>
      <c r="E168" s="74">
        <f>0.0098</f>
        <v>0.0098</v>
      </c>
      <c r="F168" s="75">
        <f>'Gia NC,CM'!P10</f>
        <v>252200</v>
      </c>
      <c r="G168" s="76">
        <f>ROUND(E168*F168,5)</f>
        <v>2471.56</v>
      </c>
    </row>
    <row r="169" spans="1:7" ht="15.75">
      <c r="A169" s="12" t="s">
        <v>0</v>
      </c>
      <c r="B169" s="13" t="s">
        <v>0</v>
      </c>
      <c r="C169" s="13"/>
      <c r="D169" s="13" t="s">
        <v>0</v>
      </c>
      <c r="E169" s="74"/>
      <c r="F169" s="75"/>
      <c r="G169" s="77"/>
    </row>
    <row r="170" spans="1:7" ht="15">
      <c r="A170" s="12" t="s">
        <v>0</v>
      </c>
      <c r="B170" s="13" t="s">
        <v>0</v>
      </c>
      <c r="C170" s="13"/>
      <c r="D170" s="13"/>
      <c r="E170" s="74"/>
      <c r="F170" s="75"/>
      <c r="G170" s="76"/>
    </row>
    <row r="171" spans="1:7" ht="15">
      <c r="A171" s="12" t="s">
        <v>0</v>
      </c>
      <c r="B171" s="13" t="s">
        <v>0</v>
      </c>
      <c r="C171" s="13" t="s">
        <v>0</v>
      </c>
      <c r="D171" s="13" t="s">
        <v>0</v>
      </c>
      <c r="E171" s="74"/>
      <c r="F171" s="75"/>
      <c r="G171" s="76"/>
    </row>
    <row r="172" spans="1:7" ht="15">
      <c r="A172" s="12" t="s">
        <v>116</v>
      </c>
      <c r="B172" s="13" t="s">
        <v>117</v>
      </c>
      <c r="C172" s="13" t="s">
        <v>118</v>
      </c>
      <c r="D172" s="13" t="s">
        <v>113</v>
      </c>
      <c r="E172" s="74"/>
      <c r="F172" s="75"/>
      <c r="G172" s="76"/>
    </row>
    <row r="173" spans="1:7" ht="15.75">
      <c r="A173" s="12" t="s">
        <v>0</v>
      </c>
      <c r="B173" s="13" t="s">
        <v>0</v>
      </c>
      <c r="C173" s="13" t="s">
        <v>321</v>
      </c>
      <c r="D173" s="13" t="s">
        <v>0</v>
      </c>
      <c r="E173" s="74"/>
      <c r="F173" s="75"/>
      <c r="G173" s="77">
        <f>ROUND(SUM(G174:G174),5)</f>
        <v>22267</v>
      </c>
    </row>
    <row r="174" spans="1:7" ht="15">
      <c r="A174" s="12" t="s">
        <v>0</v>
      </c>
      <c r="B174" s="13" t="s">
        <v>0</v>
      </c>
      <c r="C174" s="13" t="s">
        <v>119</v>
      </c>
      <c r="D174" s="13" t="s">
        <v>103</v>
      </c>
      <c r="E174" s="74">
        <f>1</f>
        <v>1</v>
      </c>
      <c r="F174" s="75">
        <f>'Gia VL'!Q12</f>
        <v>22267</v>
      </c>
      <c r="G174" s="76">
        <f>ROUND(E174*F174,5)</f>
        <v>22267</v>
      </c>
    </row>
    <row r="175" spans="1:7" ht="15.75">
      <c r="A175" s="12" t="s">
        <v>0</v>
      </c>
      <c r="B175" s="13" t="s">
        <v>0</v>
      </c>
      <c r="C175" s="13" t="s">
        <v>322</v>
      </c>
      <c r="D175" s="13" t="s">
        <v>0</v>
      </c>
      <c r="E175" s="74"/>
      <c r="F175" s="75"/>
      <c r="G175" s="77">
        <f>ROUND(SUM(G176:G178),5)</f>
        <v>3278.6</v>
      </c>
    </row>
    <row r="176" spans="1:7" ht="15">
      <c r="A176" s="12" t="s">
        <v>0</v>
      </c>
      <c r="B176" s="13" t="s">
        <v>0</v>
      </c>
      <c r="C176" s="13" t="s">
        <v>47</v>
      </c>
      <c r="D176" s="13" t="s">
        <v>8</v>
      </c>
      <c r="E176" s="74">
        <f>0.013</f>
        <v>0.013</v>
      </c>
      <c r="F176" s="75">
        <f>'Gia NC,CM'!P10</f>
        <v>252200</v>
      </c>
      <c r="G176" s="76">
        <f>ROUND(E176*F176,5)</f>
        <v>3278.6</v>
      </c>
    </row>
    <row r="177" spans="1:7" ht="15">
      <c r="A177" s="12" t="s">
        <v>0</v>
      </c>
      <c r="B177" s="13" t="s">
        <v>0</v>
      </c>
      <c r="C177" s="13" t="s">
        <v>0</v>
      </c>
      <c r="D177" s="13" t="s">
        <v>0</v>
      </c>
      <c r="E177" s="74"/>
      <c r="F177" s="75"/>
      <c r="G177" s="76"/>
    </row>
    <row r="178" spans="1:7" ht="15">
      <c r="A178" s="12" t="s">
        <v>120</v>
      </c>
      <c r="B178" s="13" t="s">
        <v>121</v>
      </c>
      <c r="C178" s="13" t="s">
        <v>122</v>
      </c>
      <c r="D178" s="13" t="s">
        <v>123</v>
      </c>
      <c r="E178" s="74"/>
      <c r="F178" s="75"/>
      <c r="G178" s="76"/>
    </row>
    <row r="179" spans="1:7" ht="15.75">
      <c r="A179" s="12" t="s">
        <v>0</v>
      </c>
      <c r="B179" s="13" t="s">
        <v>0</v>
      </c>
      <c r="C179" s="13" t="s">
        <v>321</v>
      </c>
      <c r="D179" s="13" t="s">
        <v>0</v>
      </c>
      <c r="E179" s="74"/>
      <c r="F179" s="75"/>
      <c r="G179" s="77">
        <f>ROUND(SUM(G180:G184),5)</f>
        <v>1822445</v>
      </c>
    </row>
    <row r="180" spans="1:7" ht="15">
      <c r="A180" s="12" t="s">
        <v>0</v>
      </c>
      <c r="B180" s="13" t="s">
        <v>0</v>
      </c>
      <c r="C180" s="13" t="s">
        <v>124</v>
      </c>
      <c r="D180" s="13" t="s">
        <v>103</v>
      </c>
      <c r="E180" s="74">
        <f>24</f>
        <v>24</v>
      </c>
      <c r="F180" s="75">
        <f>'Gia VL'!Q70</f>
        <v>29300</v>
      </c>
      <c r="G180" s="76">
        <f>ROUND(E180*F180,5)</f>
        <v>703200</v>
      </c>
    </row>
    <row r="181" spans="1:7" ht="15">
      <c r="A181" s="12" t="s">
        <v>0</v>
      </c>
      <c r="B181" s="13" t="s">
        <v>0</v>
      </c>
      <c r="C181" s="13" t="s">
        <v>125</v>
      </c>
      <c r="D181" s="13" t="s">
        <v>126</v>
      </c>
      <c r="E181" s="74">
        <f>8</f>
        <v>8</v>
      </c>
      <c r="F181" s="75">
        <f>'Gia VL'!Q68</f>
        <v>14800</v>
      </c>
      <c r="G181" s="76">
        <f>ROUND(E181*F181,5)</f>
        <v>118400</v>
      </c>
    </row>
    <row r="182" spans="1:7" ht="15">
      <c r="A182" s="12" t="s">
        <v>0</v>
      </c>
      <c r="B182" s="13" t="s">
        <v>0</v>
      </c>
      <c r="C182" s="13" t="s">
        <v>127</v>
      </c>
      <c r="D182" s="13" t="s">
        <v>103</v>
      </c>
      <c r="E182" s="74">
        <f>3</f>
        <v>3</v>
      </c>
      <c r="F182" s="75">
        <f>'Gia VL'!Q11</f>
        <v>333615</v>
      </c>
      <c r="G182" s="76">
        <f>ROUND(E182*F182,5)</f>
        <v>1000845</v>
      </c>
    </row>
    <row r="183" spans="1:7" ht="15">
      <c r="A183" s="12" t="s">
        <v>0</v>
      </c>
      <c r="B183" s="13" t="s">
        <v>0</v>
      </c>
      <c r="C183" s="13" t="s">
        <v>0</v>
      </c>
      <c r="D183" s="13" t="s">
        <v>0</v>
      </c>
      <c r="E183" s="74"/>
      <c r="F183" s="75"/>
      <c r="G183" s="76"/>
    </row>
    <row r="184" spans="1:7" ht="15">
      <c r="A184" s="12" t="s">
        <v>128</v>
      </c>
      <c r="B184" s="13" t="s">
        <v>129</v>
      </c>
      <c r="C184" s="13" t="s">
        <v>130</v>
      </c>
      <c r="D184" s="13" t="s">
        <v>77</v>
      </c>
      <c r="E184" s="74"/>
      <c r="F184" s="75"/>
      <c r="G184" s="76"/>
    </row>
    <row r="185" spans="1:7" ht="15.75">
      <c r="A185" s="12" t="s">
        <v>0</v>
      </c>
      <c r="B185" s="13" t="s">
        <v>0</v>
      </c>
      <c r="C185" s="13" t="s">
        <v>321</v>
      </c>
      <c r="D185" s="13" t="s">
        <v>0</v>
      </c>
      <c r="E185" s="74"/>
      <c r="F185" s="75"/>
      <c r="G185" s="77">
        <f>ROUND(SUM(G186:G193),5)</f>
        <v>129850</v>
      </c>
    </row>
    <row r="186" spans="1:7" ht="15">
      <c r="A186" s="12" t="s">
        <v>0</v>
      </c>
      <c r="B186" s="13" t="s">
        <v>0</v>
      </c>
      <c r="C186" s="13" t="s">
        <v>131</v>
      </c>
      <c r="D186" s="13" t="s">
        <v>126</v>
      </c>
      <c r="E186" s="74">
        <f>1</f>
        <v>1</v>
      </c>
      <c r="F186" s="75">
        <f>'Gia VL'!Q10</f>
        <v>41800</v>
      </c>
      <c r="G186" s="76">
        <f aca="true" t="shared" si="0" ref="G186:G191">ROUND(E186*F186,5)</f>
        <v>41800</v>
      </c>
    </row>
    <row r="187" spans="1:7" ht="15">
      <c r="A187" s="12" t="s">
        <v>0</v>
      </c>
      <c r="B187" s="13" t="s">
        <v>0</v>
      </c>
      <c r="C187" s="13" t="s">
        <v>132</v>
      </c>
      <c r="D187" s="13" t="s">
        <v>126</v>
      </c>
      <c r="E187" s="74">
        <f>1</f>
        <v>1</v>
      </c>
      <c r="F187" s="75">
        <f>'Gia VL'!Q31</f>
        <v>45570</v>
      </c>
      <c r="G187" s="76">
        <f t="shared" si="0"/>
        <v>45570</v>
      </c>
    </row>
    <row r="188" spans="1:7" ht="15">
      <c r="A188" s="12" t="s">
        <v>0</v>
      </c>
      <c r="B188" s="13" t="s">
        <v>0</v>
      </c>
      <c r="C188" s="13" t="s">
        <v>133</v>
      </c>
      <c r="D188" s="13" t="s">
        <v>123</v>
      </c>
      <c r="E188" s="74">
        <f>2</f>
        <v>2</v>
      </c>
      <c r="F188" s="75">
        <f>'Gia VL'!Q30</f>
        <v>2200</v>
      </c>
      <c r="G188" s="76">
        <f t="shared" si="0"/>
        <v>4400</v>
      </c>
    </row>
    <row r="189" spans="1:7" ht="15">
      <c r="A189" s="12" t="s">
        <v>0</v>
      </c>
      <c r="B189" s="13" t="s">
        <v>0</v>
      </c>
      <c r="C189" s="13" t="s">
        <v>134</v>
      </c>
      <c r="D189" s="13" t="s">
        <v>103</v>
      </c>
      <c r="E189" s="74">
        <f>3.6</f>
        <v>3.6</v>
      </c>
      <c r="F189" s="75">
        <f>'Gia VL'!Q46</f>
        <v>7800</v>
      </c>
      <c r="G189" s="76">
        <f t="shared" si="0"/>
        <v>28080</v>
      </c>
    </row>
    <row r="190" spans="1:7" ht="15">
      <c r="A190" s="12" t="s">
        <v>0</v>
      </c>
      <c r="B190" s="13" t="s">
        <v>0</v>
      </c>
      <c r="C190" s="13" t="s">
        <v>135</v>
      </c>
      <c r="D190" s="13" t="s">
        <v>136</v>
      </c>
      <c r="E190" s="74">
        <f>1</f>
        <v>1</v>
      </c>
      <c r="F190" s="75">
        <f>'Gia VL'!Q23</f>
        <v>400</v>
      </c>
      <c r="G190" s="76">
        <f t="shared" si="0"/>
        <v>400</v>
      </c>
    </row>
    <row r="191" spans="1:7" ht="15">
      <c r="A191" s="12" t="s">
        <v>0</v>
      </c>
      <c r="B191" s="13" t="s">
        <v>0</v>
      </c>
      <c r="C191" s="13" t="s">
        <v>137</v>
      </c>
      <c r="D191" s="13" t="s">
        <v>126</v>
      </c>
      <c r="E191" s="74">
        <f>4</f>
        <v>4</v>
      </c>
      <c r="F191" s="75">
        <f>'Gia VL'!Q36</f>
        <v>2400</v>
      </c>
      <c r="G191" s="76">
        <f t="shared" si="0"/>
        <v>9600</v>
      </c>
    </row>
    <row r="192" spans="1:7" ht="15">
      <c r="A192" s="12" t="s">
        <v>0</v>
      </c>
      <c r="B192" s="13" t="s">
        <v>0</v>
      </c>
      <c r="C192" s="13" t="s">
        <v>0</v>
      </c>
      <c r="D192" s="13" t="s">
        <v>0</v>
      </c>
      <c r="E192" s="74"/>
      <c r="F192" s="75"/>
      <c r="G192" s="76"/>
    </row>
    <row r="193" spans="1:7" ht="15">
      <c r="A193" s="12" t="s">
        <v>138</v>
      </c>
      <c r="B193" s="13" t="s">
        <v>139</v>
      </c>
      <c r="C193" s="13" t="s">
        <v>140</v>
      </c>
      <c r="D193" s="13" t="s">
        <v>77</v>
      </c>
      <c r="E193" s="74"/>
      <c r="F193" s="75"/>
      <c r="G193" s="76"/>
    </row>
    <row r="194" spans="1:7" ht="15.75">
      <c r="A194" s="12" t="s">
        <v>0</v>
      </c>
      <c r="B194" s="13" t="s">
        <v>0</v>
      </c>
      <c r="C194" s="13" t="s">
        <v>321</v>
      </c>
      <c r="D194" s="13" t="s">
        <v>0</v>
      </c>
      <c r="E194" s="74"/>
      <c r="F194" s="75"/>
      <c r="G194" s="77">
        <f>ROUND(SUM(G195:G198),5)</f>
        <v>38091</v>
      </c>
    </row>
    <row r="195" spans="1:7" ht="15">
      <c r="A195" s="12" t="s">
        <v>0</v>
      </c>
      <c r="B195" s="13" t="s">
        <v>0</v>
      </c>
      <c r="C195" s="13" t="s">
        <v>141</v>
      </c>
      <c r="D195" s="13" t="s">
        <v>126</v>
      </c>
      <c r="E195" s="74">
        <f>1</f>
        <v>1</v>
      </c>
      <c r="F195" s="75">
        <f>'Gia VL'!Q9</f>
        <v>16691</v>
      </c>
      <c r="G195" s="76">
        <f>ROUND(E195*F195,5)</f>
        <v>16691</v>
      </c>
    </row>
    <row r="196" spans="1:7" ht="15">
      <c r="A196" s="12" t="s">
        <v>0</v>
      </c>
      <c r="B196" s="13" t="s">
        <v>0</v>
      </c>
      <c r="C196" s="13" t="s">
        <v>142</v>
      </c>
      <c r="D196" s="13" t="s">
        <v>126</v>
      </c>
      <c r="E196" s="74">
        <f>1</f>
        <v>1</v>
      </c>
      <c r="F196" s="75">
        <f>'Gia VL'!Q33</f>
        <v>21400</v>
      </c>
      <c r="G196" s="76">
        <f>ROUND(E196*F196,5)</f>
        <v>21400</v>
      </c>
    </row>
    <row r="197" spans="1:7" ht="15">
      <c r="A197" s="12" t="s">
        <v>0</v>
      </c>
      <c r="B197" s="13" t="s">
        <v>0</v>
      </c>
      <c r="C197" s="13" t="s">
        <v>0</v>
      </c>
      <c r="D197" s="13" t="s">
        <v>0</v>
      </c>
      <c r="E197" s="74"/>
      <c r="F197" s="75"/>
      <c r="G197" s="76"/>
    </row>
    <row r="198" spans="1:7" ht="15">
      <c r="A198" s="12" t="s">
        <v>143</v>
      </c>
      <c r="B198" s="13" t="s">
        <v>144</v>
      </c>
      <c r="C198" s="13" t="s">
        <v>145</v>
      </c>
      <c r="D198" s="13" t="s">
        <v>77</v>
      </c>
      <c r="E198" s="74"/>
      <c r="F198" s="75"/>
      <c r="G198" s="76"/>
    </row>
    <row r="199" spans="1:7" ht="15.75">
      <c r="A199" s="12" t="s">
        <v>0</v>
      </c>
      <c r="B199" s="13" t="s">
        <v>0</v>
      </c>
      <c r="C199" s="13" t="s">
        <v>321</v>
      </c>
      <c r="D199" s="13" t="s">
        <v>0</v>
      </c>
      <c r="E199" s="74"/>
      <c r="F199" s="75"/>
      <c r="G199" s="77">
        <f>ROUND(SUM(G200:G204),5)</f>
        <v>71861</v>
      </c>
    </row>
    <row r="200" spans="1:7" ht="15">
      <c r="A200" s="12" t="s">
        <v>0</v>
      </c>
      <c r="B200" s="13" t="s">
        <v>0</v>
      </c>
      <c r="C200" s="13" t="s">
        <v>141</v>
      </c>
      <c r="D200" s="13" t="s">
        <v>126</v>
      </c>
      <c r="E200" s="74">
        <f>1</f>
        <v>1</v>
      </c>
      <c r="F200" s="75">
        <f>'Gia VL'!Q9</f>
        <v>16691</v>
      </c>
      <c r="G200" s="76">
        <f>ROUND(E200*F200,5)</f>
        <v>16691</v>
      </c>
    </row>
    <row r="201" spans="1:7" ht="15">
      <c r="A201" s="12" t="s">
        <v>0</v>
      </c>
      <c r="B201" s="13" t="s">
        <v>0</v>
      </c>
      <c r="C201" s="13" t="s">
        <v>132</v>
      </c>
      <c r="D201" s="13" t="s">
        <v>126</v>
      </c>
      <c r="E201" s="74">
        <f>1</f>
        <v>1</v>
      </c>
      <c r="F201" s="75">
        <f>'Gia VL'!Q31</f>
        <v>45570</v>
      </c>
      <c r="G201" s="76">
        <f>ROUND(E201*F201,5)</f>
        <v>45570</v>
      </c>
    </row>
    <row r="202" spans="1:7" ht="15">
      <c r="A202" s="12" t="s">
        <v>0</v>
      </c>
      <c r="B202" s="13" t="s">
        <v>0</v>
      </c>
      <c r="C202" s="13" t="s">
        <v>146</v>
      </c>
      <c r="D202" s="13" t="s">
        <v>126</v>
      </c>
      <c r="E202" s="74">
        <f>4</f>
        <v>4</v>
      </c>
      <c r="F202" s="75">
        <f>'Gia VL'!Q35</f>
        <v>2400</v>
      </c>
      <c r="G202" s="76">
        <f>ROUND(E202*F202,5)</f>
        <v>9600</v>
      </c>
    </row>
    <row r="203" spans="1:7" ht="15">
      <c r="A203" s="12" t="s">
        <v>0</v>
      </c>
      <c r="B203" s="13" t="s">
        <v>0</v>
      </c>
      <c r="C203" s="13" t="s">
        <v>0</v>
      </c>
      <c r="D203" s="13" t="s">
        <v>0</v>
      </c>
      <c r="E203" s="74"/>
      <c r="F203" s="75"/>
      <c r="G203" s="76"/>
    </row>
    <row r="204" spans="1:7" ht="15">
      <c r="A204" s="12" t="s">
        <v>147</v>
      </c>
      <c r="B204" s="13" t="s">
        <v>148</v>
      </c>
      <c r="C204" s="13" t="s">
        <v>149</v>
      </c>
      <c r="D204" s="13" t="s">
        <v>77</v>
      </c>
      <c r="E204" s="74"/>
      <c r="F204" s="75"/>
      <c r="G204" s="76"/>
    </row>
    <row r="205" spans="1:7" ht="15.75">
      <c r="A205" s="12" t="s">
        <v>0</v>
      </c>
      <c r="B205" s="13" t="s">
        <v>0</v>
      </c>
      <c r="C205" s="13" t="s">
        <v>321</v>
      </c>
      <c r="D205" s="13" t="s">
        <v>0</v>
      </c>
      <c r="E205" s="74"/>
      <c r="F205" s="75"/>
      <c r="G205" s="77">
        <f>ROUND(SUM(G206:G209),5)</f>
        <v>38091</v>
      </c>
    </row>
    <row r="206" spans="1:7" ht="15">
      <c r="A206" s="12" t="s">
        <v>0</v>
      </c>
      <c r="B206" s="13" t="s">
        <v>0</v>
      </c>
      <c r="C206" s="13" t="s">
        <v>141</v>
      </c>
      <c r="D206" s="13" t="s">
        <v>126</v>
      </c>
      <c r="E206" s="74">
        <f>1</f>
        <v>1</v>
      </c>
      <c r="F206" s="75">
        <f>'Gia VL'!Q9</f>
        <v>16691</v>
      </c>
      <c r="G206" s="76">
        <f>ROUND(E206*F206,5)</f>
        <v>16691</v>
      </c>
    </row>
    <row r="207" spans="1:7" ht="15">
      <c r="A207" s="12" t="s">
        <v>0</v>
      </c>
      <c r="B207" s="13" t="s">
        <v>0</v>
      </c>
      <c r="C207" s="13" t="s">
        <v>142</v>
      </c>
      <c r="D207" s="13" t="s">
        <v>126</v>
      </c>
      <c r="E207" s="74">
        <f>1</f>
        <v>1</v>
      </c>
      <c r="F207" s="75">
        <f>'Gia VL'!Q33</f>
        <v>21400</v>
      </c>
      <c r="G207" s="76">
        <f>ROUND(E207*F207,5)</f>
        <v>21400</v>
      </c>
    </row>
    <row r="208" spans="1:7" ht="15">
      <c r="A208" s="12" t="s">
        <v>0</v>
      </c>
      <c r="B208" s="13" t="s">
        <v>0</v>
      </c>
      <c r="C208" s="13" t="s">
        <v>0</v>
      </c>
      <c r="D208" s="13" t="s">
        <v>0</v>
      </c>
      <c r="E208" s="74"/>
      <c r="F208" s="75"/>
      <c r="G208" s="76"/>
    </row>
    <row r="209" spans="1:7" ht="15">
      <c r="A209" s="12" t="s">
        <v>150</v>
      </c>
      <c r="B209" s="13" t="s">
        <v>151</v>
      </c>
      <c r="C209" s="13" t="s">
        <v>152</v>
      </c>
      <c r="D209" s="13" t="s">
        <v>77</v>
      </c>
      <c r="E209" s="74"/>
      <c r="F209" s="75"/>
      <c r="G209" s="76"/>
    </row>
    <row r="210" spans="1:7" ht="15.75">
      <c r="A210" s="12" t="s">
        <v>0</v>
      </c>
      <c r="B210" s="13" t="s">
        <v>0</v>
      </c>
      <c r="C210" s="13" t="s">
        <v>321</v>
      </c>
      <c r="D210" s="13" t="s">
        <v>0</v>
      </c>
      <c r="E210" s="74"/>
      <c r="F210" s="75"/>
      <c r="G210" s="77">
        <f>ROUND(SUM(G211:G215),5)</f>
        <v>188780</v>
      </c>
    </row>
    <row r="211" spans="1:7" ht="15">
      <c r="A211" s="12" t="s">
        <v>0</v>
      </c>
      <c r="B211" s="13" t="s">
        <v>0</v>
      </c>
      <c r="C211" s="13" t="s">
        <v>131</v>
      </c>
      <c r="D211" s="13" t="s">
        <v>126</v>
      </c>
      <c r="E211" s="74">
        <f>2</f>
        <v>2</v>
      </c>
      <c r="F211" s="75">
        <f>'Gia VL'!Q10</f>
        <v>41800</v>
      </c>
      <c r="G211" s="76">
        <f>ROUND(E211*F211,5)</f>
        <v>83600</v>
      </c>
    </row>
    <row r="212" spans="1:7" ht="15">
      <c r="A212" s="12" t="s">
        <v>0</v>
      </c>
      <c r="B212" s="13" t="s">
        <v>0</v>
      </c>
      <c r="C212" s="13" t="s">
        <v>132</v>
      </c>
      <c r="D212" s="13" t="s">
        <v>126</v>
      </c>
      <c r="E212" s="74">
        <f>2</f>
        <v>2</v>
      </c>
      <c r="F212" s="75">
        <f>'Gia VL'!Q31</f>
        <v>45570</v>
      </c>
      <c r="G212" s="76">
        <f>ROUND(E212*F212,5)</f>
        <v>91140</v>
      </c>
    </row>
    <row r="213" spans="1:7" ht="15">
      <c r="A213" s="12" t="s">
        <v>0</v>
      </c>
      <c r="B213" s="13" t="s">
        <v>0</v>
      </c>
      <c r="C213" s="13" t="s">
        <v>134</v>
      </c>
      <c r="D213" s="13" t="s">
        <v>103</v>
      </c>
      <c r="E213" s="74">
        <f>1.8</f>
        <v>1.8</v>
      </c>
      <c r="F213" s="75">
        <f>'Gia VL'!Q46</f>
        <v>7800</v>
      </c>
      <c r="G213" s="76">
        <f>ROUND(E213*F213,5)</f>
        <v>14040</v>
      </c>
    </row>
    <row r="214" spans="1:7" ht="15">
      <c r="A214" s="12" t="s">
        <v>0</v>
      </c>
      <c r="B214" s="13" t="s">
        <v>0</v>
      </c>
      <c r="C214" s="13" t="s">
        <v>0</v>
      </c>
      <c r="D214" s="13" t="s">
        <v>0</v>
      </c>
      <c r="E214" s="74"/>
      <c r="F214" s="75"/>
      <c r="G214" s="76"/>
    </row>
    <row r="215" spans="1:7" ht="15">
      <c r="A215" s="12" t="s">
        <v>153</v>
      </c>
      <c r="B215" s="13" t="s">
        <v>154</v>
      </c>
      <c r="C215" s="13" t="s">
        <v>155</v>
      </c>
      <c r="D215" s="13" t="s">
        <v>77</v>
      </c>
      <c r="E215" s="74"/>
      <c r="F215" s="75"/>
      <c r="G215" s="76"/>
    </row>
    <row r="216" spans="1:7" ht="15.75">
      <c r="A216" s="12" t="s">
        <v>0</v>
      </c>
      <c r="B216" s="13" t="s">
        <v>0</v>
      </c>
      <c r="C216" s="13" t="s">
        <v>321</v>
      </c>
      <c r="D216" s="13" t="s">
        <v>0</v>
      </c>
      <c r="E216" s="74"/>
      <c r="F216" s="75"/>
      <c r="G216" s="77">
        <f>ROUND(SUM(G217:G221),5)</f>
        <v>71861</v>
      </c>
    </row>
    <row r="217" spans="1:7" ht="15">
      <c r="A217" s="12" t="s">
        <v>0</v>
      </c>
      <c r="B217" s="13" t="s">
        <v>0</v>
      </c>
      <c r="C217" s="13" t="s">
        <v>141</v>
      </c>
      <c r="D217" s="13" t="s">
        <v>126</v>
      </c>
      <c r="E217" s="74">
        <f>1</f>
        <v>1</v>
      </c>
      <c r="F217" s="75">
        <f>'Gia VL'!Q9</f>
        <v>16691</v>
      </c>
      <c r="G217" s="76">
        <f>ROUND(E217*F217,5)</f>
        <v>16691</v>
      </c>
    </row>
    <row r="218" spans="1:7" ht="15">
      <c r="A218" s="12" t="s">
        <v>0</v>
      </c>
      <c r="B218" s="13" t="s">
        <v>0</v>
      </c>
      <c r="C218" s="13" t="s">
        <v>132</v>
      </c>
      <c r="D218" s="13" t="s">
        <v>126</v>
      </c>
      <c r="E218" s="74">
        <f>1</f>
        <v>1</v>
      </c>
      <c r="F218" s="75">
        <f>'Gia VL'!Q31</f>
        <v>45570</v>
      </c>
      <c r="G218" s="76">
        <f>ROUND(E218*F218,5)</f>
        <v>45570</v>
      </c>
    </row>
    <row r="219" spans="1:7" ht="15">
      <c r="A219" s="12" t="s">
        <v>0</v>
      </c>
      <c r="B219" s="13" t="s">
        <v>0</v>
      </c>
      <c r="C219" s="13" t="s">
        <v>146</v>
      </c>
      <c r="D219" s="13" t="s">
        <v>126</v>
      </c>
      <c r="E219" s="74">
        <f>4</f>
        <v>4</v>
      </c>
      <c r="F219" s="75">
        <f>'Gia VL'!Q35</f>
        <v>2400</v>
      </c>
      <c r="G219" s="76">
        <f>ROUND(E219*F219,5)</f>
        <v>9600</v>
      </c>
    </row>
    <row r="220" spans="1:7" ht="15">
      <c r="A220" s="12" t="s">
        <v>0</v>
      </c>
      <c r="B220" s="13" t="s">
        <v>0</v>
      </c>
      <c r="C220" s="13" t="s">
        <v>0</v>
      </c>
      <c r="D220" s="13" t="s">
        <v>0</v>
      </c>
      <c r="E220" s="74"/>
      <c r="F220" s="75"/>
      <c r="G220" s="76"/>
    </row>
    <row r="221" spans="1:7" ht="15">
      <c r="A221" s="12" t="s">
        <v>156</v>
      </c>
      <c r="B221" s="13" t="s">
        <v>157</v>
      </c>
      <c r="C221" s="13" t="s">
        <v>158</v>
      </c>
      <c r="D221" s="13" t="s">
        <v>77</v>
      </c>
      <c r="E221" s="74"/>
      <c r="F221" s="75"/>
      <c r="G221" s="76"/>
    </row>
    <row r="222" spans="1:7" ht="15.75">
      <c r="A222" s="12" t="s">
        <v>0</v>
      </c>
      <c r="B222" s="13" t="s">
        <v>0</v>
      </c>
      <c r="C222" s="13" t="s">
        <v>321</v>
      </c>
      <c r="D222" s="13" t="s">
        <v>0</v>
      </c>
      <c r="E222" s="74"/>
      <c r="F222" s="75"/>
      <c r="G222" s="77">
        <f>ROUND(SUM(G223:G228),5)</f>
        <v>78520</v>
      </c>
    </row>
    <row r="223" spans="1:7" ht="15">
      <c r="A223" s="12" t="s">
        <v>0</v>
      </c>
      <c r="B223" s="13" t="s">
        <v>0</v>
      </c>
      <c r="C223" s="13" t="s">
        <v>131</v>
      </c>
      <c r="D223" s="13" t="s">
        <v>126</v>
      </c>
      <c r="E223" s="74">
        <f>1</f>
        <v>1</v>
      </c>
      <c r="F223" s="75">
        <f>'Gia VL'!Q10</f>
        <v>41800</v>
      </c>
      <c r="G223" s="76">
        <f>ROUND(E223*F223,5)</f>
        <v>41800</v>
      </c>
    </row>
    <row r="224" spans="1:7" ht="15">
      <c r="A224" s="12" t="s">
        <v>0</v>
      </c>
      <c r="B224" s="13" t="s">
        <v>0</v>
      </c>
      <c r="C224" s="13" t="s">
        <v>142</v>
      </c>
      <c r="D224" s="13" t="s">
        <v>126</v>
      </c>
      <c r="E224" s="74">
        <f>1</f>
        <v>1</v>
      </c>
      <c r="F224" s="75">
        <f>'Gia VL'!Q33</f>
        <v>21400</v>
      </c>
      <c r="G224" s="76">
        <f>ROUND(E224*F224,5)</f>
        <v>21400</v>
      </c>
    </row>
    <row r="225" spans="1:7" ht="15">
      <c r="A225" s="12" t="s">
        <v>0</v>
      </c>
      <c r="B225" s="13" t="s">
        <v>0</v>
      </c>
      <c r="C225" s="13" t="s">
        <v>133</v>
      </c>
      <c r="D225" s="13" t="s">
        <v>123</v>
      </c>
      <c r="E225" s="74">
        <f>2</f>
        <v>2</v>
      </c>
      <c r="F225" s="75">
        <f>'Gia VL'!Q30</f>
        <v>2200</v>
      </c>
      <c r="G225" s="76">
        <f>ROUND(E225*F225,5)</f>
        <v>4400</v>
      </c>
    </row>
    <row r="226" spans="1:7" ht="15">
      <c r="A226" s="12" t="s">
        <v>0</v>
      </c>
      <c r="B226" s="13" t="s">
        <v>0</v>
      </c>
      <c r="C226" s="13" t="s">
        <v>134</v>
      </c>
      <c r="D226" s="13" t="s">
        <v>103</v>
      </c>
      <c r="E226" s="74">
        <f>1.4</f>
        <v>1.4</v>
      </c>
      <c r="F226" s="75">
        <f>'Gia VL'!Q46</f>
        <v>7800</v>
      </c>
      <c r="G226" s="76">
        <f>ROUND(E226*F226,5)</f>
        <v>10920</v>
      </c>
    </row>
    <row r="227" spans="1:7" ht="15">
      <c r="A227" s="12" t="s">
        <v>0</v>
      </c>
      <c r="B227" s="13" t="s">
        <v>0</v>
      </c>
      <c r="C227" s="13" t="s">
        <v>0</v>
      </c>
      <c r="D227" s="13" t="s">
        <v>0</v>
      </c>
      <c r="E227" s="74"/>
      <c r="F227" s="75"/>
      <c r="G227" s="76"/>
    </row>
    <row r="228" spans="1:7" ht="15">
      <c r="A228" s="12" t="s">
        <v>159</v>
      </c>
      <c r="B228" s="13" t="s">
        <v>160</v>
      </c>
      <c r="C228" s="13" t="s">
        <v>161</v>
      </c>
      <c r="D228" s="13" t="s">
        <v>77</v>
      </c>
      <c r="E228" s="74"/>
      <c r="F228" s="75"/>
      <c r="G228" s="76"/>
    </row>
    <row r="229" spans="1:7" ht="15.75">
      <c r="A229" s="12" t="s">
        <v>0</v>
      </c>
      <c r="B229" s="13" t="s">
        <v>0</v>
      </c>
      <c r="C229" s="13" t="s">
        <v>321</v>
      </c>
      <c r="D229" s="13" t="s">
        <v>0</v>
      </c>
      <c r="E229" s="74"/>
      <c r="F229" s="75"/>
      <c r="G229" s="77">
        <f>ROUND(SUM(G230:G235),5)</f>
        <v>214100</v>
      </c>
    </row>
    <row r="230" spans="1:7" ht="15">
      <c r="A230" s="12" t="s">
        <v>0</v>
      </c>
      <c r="B230" s="13" t="s">
        <v>0</v>
      </c>
      <c r="C230" s="13" t="s">
        <v>131</v>
      </c>
      <c r="D230" s="13" t="s">
        <v>126</v>
      </c>
      <c r="E230" s="74">
        <f>2</f>
        <v>2</v>
      </c>
      <c r="F230" s="75">
        <f>'Gia VL'!Q10</f>
        <v>41800</v>
      </c>
      <c r="G230" s="76">
        <f>ROUND(E230*F230,5)</f>
        <v>83600</v>
      </c>
    </row>
    <row r="231" spans="1:7" ht="15">
      <c r="A231" s="12" t="s">
        <v>0</v>
      </c>
      <c r="B231" s="13" t="s">
        <v>0</v>
      </c>
      <c r="C231" s="13" t="s">
        <v>132</v>
      </c>
      <c r="D231" s="13" t="s">
        <v>126</v>
      </c>
      <c r="E231" s="74">
        <f>2</f>
        <v>2</v>
      </c>
      <c r="F231" s="75">
        <f>'Gia VL'!Q31</f>
        <v>45570</v>
      </c>
      <c r="G231" s="76">
        <f>ROUND(E231*F231,5)</f>
        <v>91140</v>
      </c>
    </row>
    <row r="232" spans="1:7" ht="15">
      <c r="A232" s="12" t="s">
        <v>0</v>
      </c>
      <c r="B232" s="13" t="s">
        <v>0</v>
      </c>
      <c r="C232" s="13" t="s">
        <v>134</v>
      </c>
      <c r="D232" s="13" t="s">
        <v>103</v>
      </c>
      <c r="E232" s="74">
        <f>4.2</f>
        <v>4.2</v>
      </c>
      <c r="F232" s="75">
        <f>'Gia VL'!Q46</f>
        <v>7800</v>
      </c>
      <c r="G232" s="76">
        <f>ROUND(E232*F232,5)</f>
        <v>32760</v>
      </c>
    </row>
    <row r="233" spans="1:7" ht="15">
      <c r="A233" s="12" t="s">
        <v>0</v>
      </c>
      <c r="B233" s="13" t="s">
        <v>0</v>
      </c>
      <c r="C233" s="13" t="s">
        <v>133</v>
      </c>
      <c r="D233" s="13" t="s">
        <v>123</v>
      </c>
      <c r="E233" s="74">
        <f>3</f>
        <v>3</v>
      </c>
      <c r="F233" s="75">
        <f>'Gia VL'!Q30</f>
        <v>2200</v>
      </c>
      <c r="G233" s="76">
        <f>ROUND(E233*F233,5)</f>
        <v>6600</v>
      </c>
    </row>
    <row r="234" spans="1:7" ht="15">
      <c r="A234" s="12" t="s">
        <v>0</v>
      </c>
      <c r="B234" s="13" t="s">
        <v>0</v>
      </c>
      <c r="C234" s="13" t="s">
        <v>0</v>
      </c>
      <c r="D234" s="13" t="s">
        <v>0</v>
      </c>
      <c r="E234" s="74"/>
      <c r="F234" s="75"/>
      <c r="G234" s="76"/>
    </row>
    <row r="235" spans="1:7" ht="15">
      <c r="A235" s="12" t="s">
        <v>162</v>
      </c>
      <c r="B235" s="13" t="s">
        <v>163</v>
      </c>
      <c r="C235" s="13" t="s">
        <v>164</v>
      </c>
      <c r="D235" s="13" t="s">
        <v>79</v>
      </c>
      <c r="E235" s="74"/>
      <c r="F235" s="75"/>
      <c r="G235" s="76"/>
    </row>
    <row r="236" spans="1:7" ht="15.75">
      <c r="A236" s="12" t="s">
        <v>0</v>
      </c>
      <c r="B236" s="13" t="s">
        <v>0</v>
      </c>
      <c r="C236" s="13" t="s">
        <v>321</v>
      </c>
      <c r="D236" s="13" t="s">
        <v>0</v>
      </c>
      <c r="E236" s="74"/>
      <c r="F236" s="75"/>
      <c r="G236" s="77">
        <f>ROUND(SUM(G237:G239),5)</f>
        <v>54300</v>
      </c>
    </row>
    <row r="237" spans="1:7" ht="15">
      <c r="A237" s="12" t="s">
        <v>0</v>
      </c>
      <c r="B237" s="13" t="s">
        <v>0</v>
      </c>
      <c r="C237" s="13" t="s">
        <v>165</v>
      </c>
      <c r="D237" s="13" t="s">
        <v>126</v>
      </c>
      <c r="E237" s="74">
        <f>1</f>
        <v>1</v>
      </c>
      <c r="F237" s="75">
        <f>'Gia VL'!Q32</f>
        <v>54300</v>
      </c>
      <c r="G237" s="76">
        <f>ROUND(E237*F237,5)</f>
        <v>54300</v>
      </c>
    </row>
    <row r="238" spans="1:7" ht="15">
      <c r="A238" s="12" t="s">
        <v>0</v>
      </c>
      <c r="B238" s="13" t="s">
        <v>0</v>
      </c>
      <c r="C238" s="13" t="s">
        <v>0</v>
      </c>
      <c r="D238" s="13" t="s">
        <v>0</v>
      </c>
      <c r="E238" s="74"/>
      <c r="F238" s="75"/>
      <c r="G238" s="76"/>
    </row>
    <row r="239" spans="1:7" ht="15">
      <c r="A239" s="12" t="s">
        <v>166</v>
      </c>
      <c r="B239" s="13" t="s">
        <v>167</v>
      </c>
      <c r="C239" s="13" t="s">
        <v>168</v>
      </c>
      <c r="D239" s="13" t="s">
        <v>58</v>
      </c>
      <c r="E239" s="74"/>
      <c r="F239" s="75"/>
      <c r="G239" s="76"/>
    </row>
    <row r="240" spans="1:7" ht="15.75">
      <c r="A240" s="12" t="s">
        <v>0</v>
      </c>
      <c r="B240" s="13" t="s">
        <v>0</v>
      </c>
      <c r="C240" s="13" t="s">
        <v>321</v>
      </c>
      <c r="D240" s="13" t="s">
        <v>0</v>
      </c>
      <c r="E240" s="74"/>
      <c r="F240" s="75"/>
      <c r="G240" s="77">
        <f>ROUND(SUM(G241:G244),5)</f>
        <v>50000</v>
      </c>
    </row>
    <row r="241" spans="1:7" ht="15">
      <c r="A241" s="12" t="s">
        <v>0</v>
      </c>
      <c r="B241" s="13" t="s">
        <v>0</v>
      </c>
      <c r="C241" s="13" t="s">
        <v>169</v>
      </c>
      <c r="D241" s="13" t="s">
        <v>58</v>
      </c>
      <c r="E241" s="74">
        <f>1</f>
        <v>1</v>
      </c>
      <c r="F241" s="75">
        <f>'Gia VL'!Q66</f>
        <v>50000</v>
      </c>
      <c r="G241" s="76">
        <f>ROUND(E241*F241,5)</f>
        <v>50000</v>
      </c>
    </row>
    <row r="242" spans="1:7" ht="15">
      <c r="A242" s="12" t="s">
        <v>0</v>
      </c>
      <c r="B242" s="13" t="s">
        <v>0</v>
      </c>
      <c r="C242" s="13" t="s">
        <v>0</v>
      </c>
      <c r="D242" s="13" t="s">
        <v>0</v>
      </c>
      <c r="E242" s="74"/>
      <c r="F242" s="75"/>
      <c r="G242" s="76"/>
    </row>
    <row r="243" spans="1:7" ht="15">
      <c r="A243" s="12" t="s">
        <v>171</v>
      </c>
      <c r="B243" s="13" t="s">
        <v>172</v>
      </c>
      <c r="C243" s="13" t="s">
        <v>173</v>
      </c>
      <c r="D243" s="13" t="s">
        <v>174</v>
      </c>
      <c r="E243" s="74"/>
      <c r="F243" s="75"/>
      <c r="G243" s="76"/>
    </row>
    <row r="244" spans="1:7" ht="15">
      <c r="A244" s="12" t="s">
        <v>0</v>
      </c>
      <c r="B244" s="13" t="s">
        <v>0</v>
      </c>
      <c r="C244" s="13" t="s">
        <v>175</v>
      </c>
      <c r="D244" s="13" t="s">
        <v>0</v>
      </c>
      <c r="E244" s="74"/>
      <c r="F244" s="75"/>
      <c r="G244" s="76"/>
    </row>
    <row r="245" spans="1:7" ht="15.75">
      <c r="A245" s="12" t="s">
        <v>0</v>
      </c>
      <c r="B245" s="13" t="s">
        <v>0</v>
      </c>
      <c r="C245" s="13" t="s">
        <v>320</v>
      </c>
      <c r="D245" s="13" t="s">
        <v>0</v>
      </c>
      <c r="E245" s="74"/>
      <c r="F245" s="75"/>
      <c r="G245" s="77">
        <f>ROUND(SUM(G246:G249),5)</f>
        <v>46932.9876</v>
      </c>
    </row>
    <row r="246" spans="1:7" ht="15">
      <c r="A246" s="12" t="s">
        <v>0</v>
      </c>
      <c r="B246" s="13" t="s">
        <v>0</v>
      </c>
      <c r="C246" s="13" t="s">
        <v>176</v>
      </c>
      <c r="D246" s="13" t="s">
        <v>10</v>
      </c>
      <c r="E246" s="74">
        <f>0.027</f>
        <v>0.027</v>
      </c>
      <c r="F246" s="75">
        <f>'Gia NC,CM'!P20</f>
        <v>1738258.8</v>
      </c>
      <c r="G246" s="76">
        <f>ROUND(E246*F246,5)</f>
        <v>46932.9876</v>
      </c>
    </row>
    <row r="247" spans="1:7" ht="15">
      <c r="A247" s="12" t="s">
        <v>0</v>
      </c>
      <c r="B247" s="13" t="s">
        <v>0</v>
      </c>
      <c r="C247" s="13" t="s">
        <v>0</v>
      </c>
      <c r="D247" s="13" t="s">
        <v>0</v>
      </c>
      <c r="E247" s="74"/>
      <c r="F247" s="75"/>
      <c r="G247" s="76"/>
    </row>
    <row r="248" spans="1:7" ht="15">
      <c r="A248" s="12" t="s">
        <v>177</v>
      </c>
      <c r="B248" s="13" t="s">
        <v>178</v>
      </c>
      <c r="C248" s="13" t="s">
        <v>173</v>
      </c>
      <c r="D248" s="13" t="s">
        <v>174</v>
      </c>
      <c r="E248" s="74"/>
      <c r="F248" s="75"/>
      <c r="G248" s="76"/>
    </row>
    <row r="249" spans="1:7" ht="15">
      <c r="A249" s="12" t="s">
        <v>0</v>
      </c>
      <c r="B249" s="13" t="s">
        <v>0</v>
      </c>
      <c r="C249" s="13" t="s">
        <v>179</v>
      </c>
      <c r="D249" s="13" t="s">
        <v>0</v>
      </c>
      <c r="E249" s="74"/>
      <c r="F249" s="75"/>
      <c r="G249" s="76"/>
    </row>
    <row r="250" spans="1:7" ht="15.75">
      <c r="A250" s="12" t="s">
        <v>0</v>
      </c>
      <c r="B250" s="13" t="s">
        <v>0</v>
      </c>
      <c r="C250" s="13" t="s">
        <v>320</v>
      </c>
      <c r="D250" s="13" t="s">
        <v>0</v>
      </c>
      <c r="E250" s="74"/>
      <c r="F250" s="75"/>
      <c r="G250" s="77">
        <f>ROUND(SUM(G251:G254),5)</f>
        <v>33026.9172</v>
      </c>
    </row>
    <row r="251" spans="1:7" ht="15">
      <c r="A251" s="12" t="s">
        <v>0</v>
      </c>
      <c r="B251" s="13" t="s">
        <v>0</v>
      </c>
      <c r="C251" s="13" t="s">
        <v>176</v>
      </c>
      <c r="D251" s="13" t="s">
        <v>10</v>
      </c>
      <c r="E251" s="74">
        <f>0.019</f>
        <v>0.019</v>
      </c>
      <c r="F251" s="75">
        <f>'Gia NC,CM'!P20</f>
        <v>1738258.8</v>
      </c>
      <c r="G251" s="76">
        <f>ROUND(E251*F251,5)</f>
        <v>33026.9172</v>
      </c>
    </row>
    <row r="252" spans="1:7" ht="15">
      <c r="A252" s="12" t="s">
        <v>0</v>
      </c>
      <c r="B252" s="13" t="s">
        <v>0</v>
      </c>
      <c r="C252" s="13" t="s">
        <v>0</v>
      </c>
      <c r="D252" s="13" t="s">
        <v>0</v>
      </c>
      <c r="E252" s="74"/>
      <c r="F252" s="75"/>
      <c r="G252" s="76"/>
    </row>
    <row r="253" spans="1:7" ht="15">
      <c r="A253" s="12" t="s">
        <v>180</v>
      </c>
      <c r="B253" s="13" t="s">
        <v>181</v>
      </c>
      <c r="C253" s="13" t="s">
        <v>173</v>
      </c>
      <c r="D253" s="13" t="s">
        <v>174</v>
      </c>
      <c r="E253" s="74"/>
      <c r="F253" s="75"/>
      <c r="G253" s="76"/>
    </row>
    <row r="254" spans="1:7" ht="15">
      <c r="A254" s="12" t="s">
        <v>0</v>
      </c>
      <c r="B254" s="13" t="s">
        <v>0</v>
      </c>
      <c r="C254" s="13" t="s">
        <v>182</v>
      </c>
      <c r="D254" s="13" t="s">
        <v>0</v>
      </c>
      <c r="E254" s="74"/>
      <c r="F254" s="75"/>
      <c r="G254" s="76"/>
    </row>
    <row r="255" spans="1:7" ht="15.75">
      <c r="A255" s="12" t="s">
        <v>0</v>
      </c>
      <c r="B255" s="13" t="s">
        <v>0</v>
      </c>
      <c r="C255" s="13" t="s">
        <v>320</v>
      </c>
      <c r="D255" s="13" t="s">
        <v>0</v>
      </c>
      <c r="E255" s="74"/>
      <c r="F255" s="75"/>
      <c r="G255" s="77">
        <f>ROUND(SUM(G256:G259),5)</f>
        <v>24335.6232</v>
      </c>
    </row>
    <row r="256" spans="1:7" ht="15">
      <c r="A256" s="12" t="s">
        <v>0</v>
      </c>
      <c r="B256" s="13" t="s">
        <v>0</v>
      </c>
      <c r="C256" s="13" t="s">
        <v>176</v>
      </c>
      <c r="D256" s="13" t="s">
        <v>10</v>
      </c>
      <c r="E256" s="74">
        <f>0.014</f>
        <v>0.014</v>
      </c>
      <c r="F256" s="75">
        <f>'Gia NC,CM'!P20</f>
        <v>1738258.8</v>
      </c>
      <c r="G256" s="76">
        <f>ROUND(E256*F256,5)</f>
        <v>24335.6232</v>
      </c>
    </row>
    <row r="257" spans="1:7" ht="15">
      <c r="A257" s="12" t="s">
        <v>0</v>
      </c>
      <c r="B257" s="13" t="s">
        <v>0</v>
      </c>
      <c r="C257" s="13" t="s">
        <v>0</v>
      </c>
      <c r="D257" s="13" t="s">
        <v>0</v>
      </c>
      <c r="E257" s="74"/>
      <c r="F257" s="75"/>
      <c r="G257" s="76"/>
    </row>
    <row r="258" spans="1:7" ht="15">
      <c r="A258" s="12" t="s">
        <v>183</v>
      </c>
      <c r="B258" s="13" t="s">
        <v>184</v>
      </c>
      <c r="C258" s="13" t="s">
        <v>185</v>
      </c>
      <c r="D258" s="13" t="s">
        <v>174</v>
      </c>
      <c r="E258" s="74"/>
      <c r="F258" s="75"/>
      <c r="G258" s="76"/>
    </row>
    <row r="259" spans="1:7" ht="15">
      <c r="A259" s="12" t="s">
        <v>0</v>
      </c>
      <c r="B259" s="13" t="s">
        <v>0</v>
      </c>
      <c r="C259" s="13" t="s">
        <v>175</v>
      </c>
      <c r="D259" s="13" t="s">
        <v>0</v>
      </c>
      <c r="E259" s="74"/>
      <c r="F259" s="75"/>
      <c r="G259" s="76"/>
    </row>
    <row r="260" spans="1:7" ht="15.75">
      <c r="A260" s="12" t="s">
        <v>0</v>
      </c>
      <c r="B260" s="13" t="s">
        <v>0</v>
      </c>
      <c r="C260" s="13" t="s">
        <v>320</v>
      </c>
      <c r="D260" s="13" t="s">
        <v>0</v>
      </c>
      <c r="E260" s="74"/>
      <c r="F260" s="75"/>
      <c r="G260" s="77">
        <f>ROUND(SUM(G261:G264),5)</f>
        <v>59100.7992</v>
      </c>
    </row>
    <row r="261" spans="1:7" ht="15">
      <c r="A261" s="12" t="s">
        <v>0</v>
      </c>
      <c r="B261" s="13" t="s">
        <v>0</v>
      </c>
      <c r="C261" s="13" t="s">
        <v>176</v>
      </c>
      <c r="D261" s="13" t="s">
        <v>10</v>
      </c>
      <c r="E261" s="74">
        <f>0.034</f>
        <v>0.034</v>
      </c>
      <c r="F261" s="75">
        <f>'Gia NC,CM'!P20</f>
        <v>1738258.8</v>
      </c>
      <c r="G261" s="76">
        <f>ROUND(E261*F261,5)</f>
        <v>59100.7992</v>
      </c>
    </row>
    <row r="262" spans="1:7" ht="15">
      <c r="A262" s="12" t="s">
        <v>0</v>
      </c>
      <c r="B262" s="13" t="s">
        <v>0</v>
      </c>
      <c r="C262" s="13" t="s">
        <v>0</v>
      </c>
      <c r="D262" s="13" t="s">
        <v>0</v>
      </c>
      <c r="E262" s="74"/>
      <c r="F262" s="75"/>
      <c r="G262" s="76"/>
    </row>
    <row r="263" spans="1:7" ht="15">
      <c r="A263" s="12" t="s">
        <v>186</v>
      </c>
      <c r="B263" s="13" t="s">
        <v>187</v>
      </c>
      <c r="C263" s="13" t="s">
        <v>185</v>
      </c>
      <c r="D263" s="13" t="s">
        <v>174</v>
      </c>
      <c r="E263" s="74"/>
      <c r="F263" s="75"/>
      <c r="G263" s="76"/>
    </row>
    <row r="264" spans="1:7" ht="15">
      <c r="A264" s="12" t="s">
        <v>0</v>
      </c>
      <c r="B264" s="13" t="s">
        <v>0</v>
      </c>
      <c r="C264" s="13" t="s">
        <v>179</v>
      </c>
      <c r="D264" s="13" t="s">
        <v>0</v>
      </c>
      <c r="E264" s="74"/>
      <c r="F264" s="75"/>
      <c r="G264" s="76"/>
    </row>
    <row r="265" spans="1:7" ht="15.75">
      <c r="A265" s="12" t="s">
        <v>0</v>
      </c>
      <c r="B265" s="13" t="s">
        <v>0</v>
      </c>
      <c r="C265" s="13" t="s">
        <v>320</v>
      </c>
      <c r="D265" s="13" t="s">
        <v>0</v>
      </c>
      <c r="E265" s="74"/>
      <c r="F265" s="75"/>
      <c r="G265" s="77">
        <f>ROUND(SUM(G266:G269),5)</f>
        <v>43456.47</v>
      </c>
    </row>
    <row r="266" spans="1:7" ht="15">
      <c r="A266" s="12" t="s">
        <v>0</v>
      </c>
      <c r="B266" s="13" t="s">
        <v>0</v>
      </c>
      <c r="C266" s="13" t="s">
        <v>176</v>
      </c>
      <c r="D266" s="13" t="s">
        <v>10</v>
      </c>
      <c r="E266" s="74">
        <f>0.025</f>
        <v>0.025</v>
      </c>
      <c r="F266" s="75">
        <f>'Gia NC,CM'!P20</f>
        <v>1738258.8</v>
      </c>
      <c r="G266" s="76">
        <f>ROUND(E266*F266,5)</f>
        <v>43456.47</v>
      </c>
    </row>
    <row r="267" spans="1:7" ht="15">
      <c r="A267" s="12" t="s">
        <v>0</v>
      </c>
      <c r="B267" s="13" t="s">
        <v>0</v>
      </c>
      <c r="C267" s="13" t="s">
        <v>0</v>
      </c>
      <c r="D267" s="13" t="s">
        <v>0</v>
      </c>
      <c r="E267" s="74"/>
      <c r="F267" s="75"/>
      <c r="G267" s="76"/>
    </row>
    <row r="268" spans="1:7" ht="15">
      <c r="A268" s="12" t="s">
        <v>188</v>
      </c>
      <c r="B268" s="13" t="s">
        <v>189</v>
      </c>
      <c r="C268" s="13" t="s">
        <v>185</v>
      </c>
      <c r="D268" s="13" t="s">
        <v>174</v>
      </c>
      <c r="E268" s="74"/>
      <c r="F268" s="75"/>
      <c r="G268" s="76"/>
    </row>
    <row r="269" spans="1:7" ht="15">
      <c r="A269" s="12" t="s">
        <v>0</v>
      </c>
      <c r="B269" s="13" t="s">
        <v>0</v>
      </c>
      <c r="C269" s="13" t="s">
        <v>182</v>
      </c>
      <c r="D269" s="13" t="s">
        <v>0</v>
      </c>
      <c r="E269" s="74"/>
      <c r="F269" s="75"/>
      <c r="G269" s="76"/>
    </row>
    <row r="270" spans="1:7" ht="15.75">
      <c r="A270" s="12" t="s">
        <v>0</v>
      </c>
      <c r="B270" s="13" t="s">
        <v>0</v>
      </c>
      <c r="C270" s="13" t="s">
        <v>320</v>
      </c>
      <c r="D270" s="13" t="s">
        <v>0</v>
      </c>
      <c r="E270" s="74"/>
      <c r="F270" s="75"/>
      <c r="G270" s="77">
        <f>ROUND(SUM(G271:G274),5)</f>
        <v>31288.6584</v>
      </c>
    </row>
    <row r="271" spans="1:7" ht="15">
      <c r="A271" s="12" t="s">
        <v>0</v>
      </c>
      <c r="B271" s="13" t="s">
        <v>0</v>
      </c>
      <c r="C271" s="13" t="s">
        <v>176</v>
      </c>
      <c r="D271" s="13" t="s">
        <v>10</v>
      </c>
      <c r="E271" s="74">
        <f>0.018</f>
        <v>0.018</v>
      </c>
      <c r="F271" s="75">
        <f>'Gia NC,CM'!P20</f>
        <v>1738258.8</v>
      </c>
      <c r="G271" s="76">
        <f>ROUND(E271*F271,5)</f>
        <v>31288.6584</v>
      </c>
    </row>
    <row r="272" spans="1:7" ht="15">
      <c r="A272" s="12" t="s">
        <v>0</v>
      </c>
      <c r="B272" s="13" t="s">
        <v>0</v>
      </c>
      <c r="C272" s="13" t="s">
        <v>0</v>
      </c>
      <c r="D272" s="13" t="s">
        <v>0</v>
      </c>
      <c r="E272" s="74"/>
      <c r="F272" s="75"/>
      <c r="G272" s="76"/>
    </row>
    <row r="273" spans="1:7" ht="15">
      <c r="A273" s="12" t="s">
        <v>190</v>
      </c>
      <c r="B273" s="13" t="s">
        <v>191</v>
      </c>
      <c r="C273" s="13" t="s">
        <v>192</v>
      </c>
      <c r="D273" s="13" t="s">
        <v>193</v>
      </c>
      <c r="E273" s="74"/>
      <c r="F273" s="75"/>
      <c r="G273" s="76"/>
    </row>
    <row r="274" spans="1:7" ht="15">
      <c r="A274" s="12" t="s">
        <v>0</v>
      </c>
      <c r="B274" s="13" t="s">
        <v>0</v>
      </c>
      <c r="C274" s="13" t="s">
        <v>175</v>
      </c>
      <c r="D274" s="13" t="s">
        <v>0</v>
      </c>
      <c r="E274" s="74"/>
      <c r="F274" s="75"/>
      <c r="G274" s="76"/>
    </row>
    <row r="275" spans="1:7" ht="15.75">
      <c r="A275" s="12" t="s">
        <v>0</v>
      </c>
      <c r="B275" s="13" t="s">
        <v>0</v>
      </c>
      <c r="C275" s="13" t="s">
        <v>320</v>
      </c>
      <c r="D275" s="13" t="s">
        <v>0</v>
      </c>
      <c r="E275" s="74"/>
      <c r="F275" s="75"/>
      <c r="G275" s="77">
        <f>ROUND(SUM(G276:G279),5)</f>
        <v>27973.3938</v>
      </c>
    </row>
    <row r="276" spans="1:7" ht="15">
      <c r="A276" s="12" t="s">
        <v>0</v>
      </c>
      <c r="B276" s="13" t="s">
        <v>0</v>
      </c>
      <c r="C276" s="13" t="s">
        <v>194</v>
      </c>
      <c r="D276" s="13" t="s">
        <v>10</v>
      </c>
      <c r="E276" s="74">
        <f>0.022</f>
        <v>0.022</v>
      </c>
      <c r="F276" s="75">
        <f>'Gia NC,CM'!P21</f>
        <v>1271517.9</v>
      </c>
      <c r="G276" s="76">
        <f>ROUND(E276*F276,5)</f>
        <v>27973.3938</v>
      </c>
    </row>
    <row r="277" spans="1:7" ht="15">
      <c r="A277" s="12" t="s">
        <v>0</v>
      </c>
      <c r="B277" s="13" t="s">
        <v>0</v>
      </c>
      <c r="C277" s="13" t="s">
        <v>0</v>
      </c>
      <c r="D277" s="13" t="s">
        <v>0</v>
      </c>
      <c r="E277" s="74"/>
      <c r="F277" s="75"/>
      <c r="G277" s="76"/>
    </row>
    <row r="278" spans="1:7" ht="15">
      <c r="A278" s="12" t="s">
        <v>195</v>
      </c>
      <c r="B278" s="13" t="s">
        <v>196</v>
      </c>
      <c r="C278" s="13" t="s">
        <v>192</v>
      </c>
      <c r="D278" s="13" t="s">
        <v>193</v>
      </c>
      <c r="E278" s="74"/>
      <c r="F278" s="75"/>
      <c r="G278" s="76"/>
    </row>
    <row r="279" spans="1:7" ht="15">
      <c r="A279" s="12" t="s">
        <v>0</v>
      </c>
      <c r="B279" s="13" t="s">
        <v>0</v>
      </c>
      <c r="C279" s="13" t="s">
        <v>179</v>
      </c>
      <c r="D279" s="13" t="s">
        <v>0</v>
      </c>
      <c r="E279" s="74"/>
      <c r="F279" s="75"/>
      <c r="G279" s="76"/>
    </row>
    <row r="280" spans="1:7" ht="15.75">
      <c r="A280" s="12" t="s">
        <v>0</v>
      </c>
      <c r="B280" s="13" t="s">
        <v>0</v>
      </c>
      <c r="C280" s="13" t="s">
        <v>320</v>
      </c>
      <c r="D280" s="13" t="s">
        <v>0</v>
      </c>
      <c r="E280" s="74"/>
      <c r="F280" s="75"/>
      <c r="G280" s="77">
        <f>ROUND(SUM(G281:G284),5)</f>
        <v>20344.2864</v>
      </c>
    </row>
    <row r="281" spans="1:7" ht="15">
      <c r="A281" s="12" t="s">
        <v>0</v>
      </c>
      <c r="B281" s="13" t="s">
        <v>0</v>
      </c>
      <c r="C281" s="13" t="s">
        <v>194</v>
      </c>
      <c r="D281" s="13" t="s">
        <v>10</v>
      </c>
      <c r="E281" s="74">
        <f>0.016</f>
        <v>0.016</v>
      </c>
      <c r="F281" s="75">
        <f>'Gia NC,CM'!P21</f>
        <v>1271517.9</v>
      </c>
      <c r="G281" s="76">
        <f>ROUND(E281*F281,5)</f>
        <v>20344.2864</v>
      </c>
    </row>
    <row r="282" spans="1:7" ht="15">
      <c r="A282" s="12" t="s">
        <v>0</v>
      </c>
      <c r="B282" s="13" t="s">
        <v>0</v>
      </c>
      <c r="C282" s="13" t="s">
        <v>0</v>
      </c>
      <c r="D282" s="13" t="s">
        <v>0</v>
      </c>
      <c r="E282" s="74"/>
      <c r="F282" s="75"/>
      <c r="G282" s="76"/>
    </row>
    <row r="283" spans="1:7" ht="15">
      <c r="A283" s="12" t="s">
        <v>197</v>
      </c>
      <c r="B283" s="13" t="s">
        <v>198</v>
      </c>
      <c r="C283" s="13" t="s">
        <v>192</v>
      </c>
      <c r="D283" s="13" t="s">
        <v>193</v>
      </c>
      <c r="E283" s="74"/>
      <c r="F283" s="75"/>
      <c r="G283" s="76"/>
    </row>
    <row r="284" spans="1:7" ht="15">
      <c r="A284" s="12" t="s">
        <v>0</v>
      </c>
      <c r="B284" s="13" t="s">
        <v>0</v>
      </c>
      <c r="C284" s="13" t="s">
        <v>182</v>
      </c>
      <c r="D284" s="13" t="s">
        <v>0</v>
      </c>
      <c r="E284" s="74"/>
      <c r="F284" s="75"/>
      <c r="G284" s="76"/>
    </row>
    <row r="285" spans="1:7" ht="15.75">
      <c r="A285" s="12" t="s">
        <v>0</v>
      </c>
      <c r="B285" s="13" t="s">
        <v>0</v>
      </c>
      <c r="C285" s="13" t="s">
        <v>320</v>
      </c>
      <c r="D285" s="13" t="s">
        <v>0</v>
      </c>
      <c r="E285" s="74"/>
      <c r="F285" s="75"/>
      <c r="G285" s="77">
        <f>ROUND(SUM(G286:G289),5)</f>
        <v>13986.6969</v>
      </c>
    </row>
    <row r="286" spans="1:7" ht="15">
      <c r="A286" s="12" t="s">
        <v>0</v>
      </c>
      <c r="B286" s="13" t="s">
        <v>0</v>
      </c>
      <c r="C286" s="13" t="s">
        <v>194</v>
      </c>
      <c r="D286" s="13" t="s">
        <v>10</v>
      </c>
      <c r="E286" s="74">
        <f>0.011</f>
        <v>0.011</v>
      </c>
      <c r="F286" s="75">
        <f>'Gia NC,CM'!P21</f>
        <v>1271517.9</v>
      </c>
      <c r="G286" s="76">
        <f>ROUND(E286*F286,5)</f>
        <v>13986.6969</v>
      </c>
    </row>
    <row r="287" spans="1:7" ht="15">
      <c r="A287" s="12" t="s">
        <v>0</v>
      </c>
      <c r="B287" s="13" t="s">
        <v>0</v>
      </c>
      <c r="C287" s="13" t="s">
        <v>0</v>
      </c>
      <c r="D287" s="13" t="s">
        <v>0</v>
      </c>
      <c r="E287" s="74"/>
      <c r="F287" s="75"/>
      <c r="G287" s="76"/>
    </row>
    <row r="288" spans="1:7" ht="15">
      <c r="A288" s="12" t="s">
        <v>199</v>
      </c>
      <c r="B288" s="13" t="s">
        <v>200</v>
      </c>
      <c r="C288" s="13" t="s">
        <v>201</v>
      </c>
      <c r="D288" s="13" t="s">
        <v>193</v>
      </c>
      <c r="E288" s="74"/>
      <c r="F288" s="75"/>
      <c r="G288" s="76"/>
    </row>
    <row r="289" spans="1:7" ht="15">
      <c r="A289" s="12" t="s">
        <v>0</v>
      </c>
      <c r="B289" s="13" t="s">
        <v>0</v>
      </c>
      <c r="C289" s="13" t="s">
        <v>175</v>
      </c>
      <c r="D289" s="13" t="s">
        <v>0</v>
      </c>
      <c r="E289" s="74"/>
      <c r="F289" s="75"/>
      <c r="G289" s="76"/>
    </row>
    <row r="290" spans="1:7" ht="15.75">
      <c r="A290" s="12" t="s">
        <v>0</v>
      </c>
      <c r="B290" s="13" t="s">
        <v>0</v>
      </c>
      <c r="C290" s="13" t="s">
        <v>320</v>
      </c>
      <c r="D290" s="13" t="s">
        <v>0</v>
      </c>
      <c r="E290" s="74"/>
      <c r="F290" s="75"/>
      <c r="G290" s="77">
        <f>ROUND(SUM(G291:G294),5)</f>
        <v>30516.4296</v>
      </c>
    </row>
    <row r="291" spans="1:7" ht="15">
      <c r="A291" s="12" t="s">
        <v>0</v>
      </c>
      <c r="B291" s="13" t="s">
        <v>0</v>
      </c>
      <c r="C291" s="13" t="s">
        <v>194</v>
      </c>
      <c r="D291" s="13" t="s">
        <v>10</v>
      </c>
      <c r="E291" s="74">
        <f>0.024</f>
        <v>0.024</v>
      </c>
      <c r="F291" s="75">
        <f>'Gia NC,CM'!P21</f>
        <v>1271517.9</v>
      </c>
      <c r="G291" s="76">
        <f>ROUND(E291*F291,5)</f>
        <v>30516.4296</v>
      </c>
    </row>
    <row r="292" spans="1:7" ht="15">
      <c r="A292" s="12" t="s">
        <v>0</v>
      </c>
      <c r="B292" s="13" t="s">
        <v>0</v>
      </c>
      <c r="C292" s="13" t="s">
        <v>0</v>
      </c>
      <c r="D292" s="13" t="s">
        <v>0</v>
      </c>
      <c r="E292" s="74"/>
      <c r="F292" s="75"/>
      <c r="G292" s="76"/>
    </row>
    <row r="293" spans="1:7" ht="15">
      <c r="A293" s="12" t="s">
        <v>202</v>
      </c>
      <c r="B293" s="13" t="s">
        <v>203</v>
      </c>
      <c r="C293" s="13" t="s">
        <v>201</v>
      </c>
      <c r="D293" s="13" t="s">
        <v>193</v>
      </c>
      <c r="E293" s="74"/>
      <c r="F293" s="75"/>
      <c r="G293" s="76"/>
    </row>
    <row r="294" spans="1:7" ht="15">
      <c r="A294" s="12" t="s">
        <v>0</v>
      </c>
      <c r="B294" s="13" t="s">
        <v>0</v>
      </c>
      <c r="C294" s="13" t="s">
        <v>179</v>
      </c>
      <c r="D294" s="13" t="s">
        <v>0</v>
      </c>
      <c r="E294" s="74"/>
      <c r="F294" s="75"/>
      <c r="G294" s="76"/>
    </row>
    <row r="295" spans="1:7" ht="15.75">
      <c r="A295" s="12" t="s">
        <v>0</v>
      </c>
      <c r="B295" s="13" t="s">
        <v>0</v>
      </c>
      <c r="C295" s="13" t="s">
        <v>320</v>
      </c>
      <c r="D295" s="13" t="s">
        <v>0</v>
      </c>
      <c r="E295" s="74"/>
      <c r="F295" s="75"/>
      <c r="G295" s="77">
        <f>ROUND(SUM(G296:G299),5)</f>
        <v>22887.3222</v>
      </c>
    </row>
    <row r="296" spans="1:7" ht="15">
      <c r="A296" s="12" t="s">
        <v>0</v>
      </c>
      <c r="B296" s="13" t="s">
        <v>0</v>
      </c>
      <c r="C296" s="13" t="s">
        <v>194</v>
      </c>
      <c r="D296" s="13" t="s">
        <v>10</v>
      </c>
      <c r="E296" s="74">
        <f>0.018</f>
        <v>0.018</v>
      </c>
      <c r="F296" s="75">
        <f>'Gia NC,CM'!P21</f>
        <v>1271517.9</v>
      </c>
      <c r="G296" s="76">
        <f>ROUND(E296*F296,5)</f>
        <v>22887.3222</v>
      </c>
    </row>
    <row r="297" spans="1:7" ht="15">
      <c r="A297" s="12" t="s">
        <v>0</v>
      </c>
      <c r="B297" s="13" t="s">
        <v>0</v>
      </c>
      <c r="C297" s="13" t="s">
        <v>0</v>
      </c>
      <c r="D297" s="13" t="s">
        <v>0</v>
      </c>
      <c r="E297" s="74"/>
      <c r="F297" s="75"/>
      <c r="G297" s="76"/>
    </row>
    <row r="298" spans="1:7" ht="15">
      <c r="A298" s="12" t="s">
        <v>204</v>
      </c>
      <c r="B298" s="13" t="s">
        <v>205</v>
      </c>
      <c r="C298" s="13" t="s">
        <v>201</v>
      </c>
      <c r="D298" s="13" t="s">
        <v>193</v>
      </c>
      <c r="E298" s="74"/>
      <c r="F298" s="75"/>
      <c r="G298" s="76"/>
    </row>
    <row r="299" spans="1:7" ht="15">
      <c r="A299" s="12" t="s">
        <v>0</v>
      </c>
      <c r="B299" s="13" t="s">
        <v>0</v>
      </c>
      <c r="C299" s="13" t="s">
        <v>182</v>
      </c>
      <c r="D299" s="13" t="s">
        <v>0</v>
      </c>
      <c r="E299" s="74"/>
      <c r="F299" s="75"/>
      <c r="G299" s="76"/>
    </row>
    <row r="300" spans="1:7" ht="15.75">
      <c r="A300" s="12" t="s">
        <v>0</v>
      </c>
      <c r="B300" s="13" t="s">
        <v>0</v>
      </c>
      <c r="C300" s="13" t="s">
        <v>320</v>
      </c>
      <c r="D300" s="13" t="s">
        <v>0</v>
      </c>
      <c r="E300" s="74"/>
      <c r="F300" s="75"/>
      <c r="G300" s="77">
        <f>ROUND(SUM(G301:G304),5)</f>
        <v>13986.6969</v>
      </c>
    </row>
    <row r="301" spans="1:7" ht="15">
      <c r="A301" s="12" t="s">
        <v>0</v>
      </c>
      <c r="B301" s="13" t="s">
        <v>0</v>
      </c>
      <c r="C301" s="13" t="s">
        <v>194</v>
      </c>
      <c r="D301" s="13" t="s">
        <v>10</v>
      </c>
      <c r="E301" s="74">
        <f>0.011</f>
        <v>0.011</v>
      </c>
      <c r="F301" s="75">
        <f>'Gia NC,CM'!P21</f>
        <v>1271517.9</v>
      </c>
      <c r="G301" s="76">
        <f>ROUND(E301*F301,5)</f>
        <v>13986.6969</v>
      </c>
    </row>
    <row r="302" spans="1:7" ht="15">
      <c r="A302" s="12" t="s">
        <v>0</v>
      </c>
      <c r="B302" s="13" t="s">
        <v>0</v>
      </c>
      <c r="C302" s="13" t="s">
        <v>0</v>
      </c>
      <c r="D302" s="13" t="s">
        <v>0</v>
      </c>
      <c r="E302" s="74"/>
      <c r="F302" s="75"/>
      <c r="G302" s="76"/>
    </row>
    <row r="303" spans="1:7" ht="15">
      <c r="A303" s="12" t="s">
        <v>206</v>
      </c>
      <c r="B303" s="13" t="s">
        <v>207</v>
      </c>
      <c r="C303" s="13" t="s">
        <v>208</v>
      </c>
      <c r="D303" s="13" t="s">
        <v>209</v>
      </c>
      <c r="E303" s="74"/>
      <c r="F303" s="75"/>
      <c r="G303" s="76"/>
    </row>
    <row r="304" spans="1:7" ht="15">
      <c r="A304" s="12" t="s">
        <v>0</v>
      </c>
      <c r="B304" s="13" t="s">
        <v>0</v>
      </c>
      <c r="C304" s="13" t="s">
        <v>210</v>
      </c>
      <c r="D304" s="13" t="s">
        <v>0</v>
      </c>
      <c r="E304" s="74"/>
      <c r="F304" s="75"/>
      <c r="G304" s="76"/>
    </row>
    <row r="305" spans="1:7" ht="15.75">
      <c r="A305" s="12" t="s">
        <v>0</v>
      </c>
      <c r="B305" s="13" t="s">
        <v>0</v>
      </c>
      <c r="C305" s="13" t="s">
        <v>319</v>
      </c>
      <c r="D305" s="13" t="s">
        <v>0</v>
      </c>
      <c r="E305" s="74"/>
      <c r="F305" s="75"/>
      <c r="G305" s="77">
        <f>ROUND(SUM(G306:G309),5)</f>
        <v>24041.512</v>
      </c>
    </row>
    <row r="306" spans="1:7" ht="15">
      <c r="A306" s="12" t="s">
        <v>0</v>
      </c>
      <c r="B306" s="13" t="s">
        <v>0</v>
      </c>
      <c r="C306" s="13" t="s">
        <v>7</v>
      </c>
      <c r="D306" s="13" t="s">
        <v>8</v>
      </c>
      <c r="E306" s="74">
        <f>0.11</f>
        <v>0.11</v>
      </c>
      <c r="F306" s="75">
        <f>'Gia NC,CM'!P8</f>
        <v>218559.2</v>
      </c>
      <c r="G306" s="76">
        <f>ROUND(E306*F306,5)</f>
        <v>24041.512</v>
      </c>
    </row>
    <row r="307" spans="1:7" ht="15">
      <c r="A307" s="12" t="s">
        <v>0</v>
      </c>
      <c r="B307" s="13" t="s">
        <v>0</v>
      </c>
      <c r="C307" s="13" t="s">
        <v>0</v>
      </c>
      <c r="D307" s="13" t="s">
        <v>0</v>
      </c>
      <c r="E307" s="74"/>
      <c r="F307" s="75"/>
      <c r="G307" s="76"/>
    </row>
    <row r="308" spans="1:7" ht="15">
      <c r="A308" s="12" t="s">
        <v>211</v>
      </c>
      <c r="B308" s="13" t="s">
        <v>212</v>
      </c>
      <c r="C308" s="13" t="s">
        <v>208</v>
      </c>
      <c r="D308" s="13" t="s">
        <v>21</v>
      </c>
      <c r="E308" s="74"/>
      <c r="F308" s="75"/>
      <c r="G308" s="76"/>
    </row>
    <row r="309" spans="1:7" ht="15">
      <c r="A309" s="12" t="s">
        <v>0</v>
      </c>
      <c r="B309" s="13" t="s">
        <v>0</v>
      </c>
      <c r="C309" s="13" t="s">
        <v>213</v>
      </c>
      <c r="D309" s="13" t="s">
        <v>0</v>
      </c>
      <c r="E309" s="74"/>
      <c r="F309" s="75"/>
      <c r="G309" s="76"/>
    </row>
    <row r="310" spans="1:7" ht="15.75">
      <c r="A310" s="12" t="s">
        <v>0</v>
      </c>
      <c r="B310" s="13" t="s">
        <v>0</v>
      </c>
      <c r="C310" s="13" t="s">
        <v>319</v>
      </c>
      <c r="D310" s="13" t="s">
        <v>0</v>
      </c>
      <c r="E310" s="74"/>
      <c r="F310" s="75"/>
      <c r="G310" s="77">
        <f>ROUND(SUM(G311:G314),5)</f>
        <v>19670.328</v>
      </c>
    </row>
    <row r="311" spans="1:7" ht="15">
      <c r="A311" s="12" t="s">
        <v>0</v>
      </c>
      <c r="B311" s="13" t="s">
        <v>0</v>
      </c>
      <c r="C311" s="13" t="s">
        <v>7</v>
      </c>
      <c r="D311" s="13" t="s">
        <v>8</v>
      </c>
      <c r="E311" s="74">
        <f>0.09</f>
        <v>0.09</v>
      </c>
      <c r="F311" s="75">
        <f>'Gia NC,CM'!P8</f>
        <v>218559.2</v>
      </c>
      <c r="G311" s="76">
        <f>ROUND(E311*F311,5)</f>
        <v>19670.328</v>
      </c>
    </row>
    <row r="312" spans="1:7" ht="15">
      <c r="A312" s="12" t="s">
        <v>0</v>
      </c>
      <c r="B312" s="13" t="s">
        <v>0</v>
      </c>
      <c r="C312" s="13" t="s">
        <v>0</v>
      </c>
      <c r="D312" s="13" t="s">
        <v>0</v>
      </c>
      <c r="E312" s="74"/>
      <c r="F312" s="75"/>
      <c r="G312" s="76"/>
    </row>
    <row r="313" spans="1:7" ht="15">
      <c r="A313" s="12" t="s">
        <v>214</v>
      </c>
      <c r="B313" s="13" t="s">
        <v>215</v>
      </c>
      <c r="C313" s="13" t="s">
        <v>208</v>
      </c>
      <c r="D313" s="13" t="s">
        <v>209</v>
      </c>
      <c r="E313" s="74"/>
      <c r="F313" s="75"/>
      <c r="G313" s="76"/>
    </row>
    <row r="314" spans="1:7" ht="15">
      <c r="A314" s="12" t="s">
        <v>0</v>
      </c>
      <c r="B314" s="13" t="s">
        <v>0</v>
      </c>
      <c r="C314" s="13" t="s">
        <v>216</v>
      </c>
      <c r="D314" s="13" t="s">
        <v>0</v>
      </c>
      <c r="E314" s="74"/>
      <c r="F314" s="75"/>
      <c r="G314" s="76"/>
    </row>
    <row r="315" spans="1:7" ht="15.75">
      <c r="A315" s="12" t="s">
        <v>0</v>
      </c>
      <c r="B315" s="13" t="s">
        <v>0</v>
      </c>
      <c r="C315" s="13" t="s">
        <v>319</v>
      </c>
      <c r="D315" s="13" t="s">
        <v>0</v>
      </c>
      <c r="E315" s="74"/>
      <c r="F315" s="75"/>
      <c r="G315" s="77">
        <f>ROUND(SUM(G316:G318),5)</f>
        <v>45897.432</v>
      </c>
    </row>
    <row r="316" spans="1:7" ht="15">
      <c r="A316" s="12" t="s">
        <v>0</v>
      </c>
      <c r="B316" s="13" t="s">
        <v>0</v>
      </c>
      <c r="C316" s="13" t="s">
        <v>7</v>
      </c>
      <c r="D316" s="13" t="s">
        <v>8</v>
      </c>
      <c r="E316" s="74">
        <f>0.21</f>
        <v>0.21</v>
      </c>
      <c r="F316" s="75">
        <f>'Gia NC,CM'!P8</f>
        <v>218559.2</v>
      </c>
      <c r="G316" s="76">
        <f>ROUND(E316*F316,5)</f>
        <v>45897.432</v>
      </c>
    </row>
    <row r="317" spans="1:7" ht="15">
      <c r="A317" s="12" t="s">
        <v>0</v>
      </c>
      <c r="B317" s="13" t="s">
        <v>0</v>
      </c>
      <c r="C317" s="13" t="s">
        <v>0</v>
      </c>
      <c r="D317" s="13" t="s">
        <v>0</v>
      </c>
      <c r="E317" s="74"/>
      <c r="F317" s="75"/>
      <c r="G317" s="76"/>
    </row>
    <row r="318" spans="1:7" ht="15.75" thickBot="1">
      <c r="A318" s="16" t="s">
        <v>0</v>
      </c>
      <c r="B318" s="17" t="s">
        <v>0</v>
      </c>
      <c r="C318" s="17" t="s">
        <v>0</v>
      </c>
      <c r="D318" s="17" t="s">
        <v>0</v>
      </c>
      <c r="E318" s="78"/>
      <c r="F318" s="79"/>
      <c r="G318" s="80"/>
    </row>
  </sheetData>
  <sheetProtection/>
  <mergeCells count="4">
    <mergeCell ref="A1:G1"/>
    <mergeCell ref="A3:G3"/>
    <mergeCell ref="A4:G4"/>
    <mergeCell ref="A5:G5"/>
  </mergeCells>
  <printOptions horizontalCentered="1"/>
  <pageMargins left="0.5" right="0.5" top="0.5" bottom="0.5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1"/>
  <sheetViews>
    <sheetView showZeros="0" zoomScalePageLayoutView="0" workbookViewId="0" topLeftCell="A1">
      <selection activeCell="A1" sqref="A1:P1"/>
    </sheetView>
  </sheetViews>
  <sheetFormatPr defaultColWidth="8.796875" defaultRowHeight="15"/>
  <cols>
    <col min="1" max="1" width="7.59765625" style="90" customWidth="1"/>
    <col min="2" max="2" width="19.59765625" style="90" customWidth="1"/>
    <col min="3" max="3" width="4.09765625" style="90" customWidth="1"/>
    <col min="4" max="4" width="4.09765625" style="91" customWidth="1"/>
    <col min="5" max="5" width="4.59765625" style="92" customWidth="1"/>
    <col min="6" max="7" width="4.09765625" style="92" customWidth="1"/>
    <col min="8" max="8" width="11.09765625" style="90" customWidth="1"/>
    <col min="9" max="9" width="11.59765625" style="90" customWidth="1"/>
    <col min="10" max="10" width="9.09765625" style="93" customWidth="1"/>
    <col min="11" max="15" width="8.59765625" style="93" customWidth="1"/>
    <col min="16" max="16" width="9.09765625" style="93" customWidth="1"/>
    <col min="17" max="16384" width="9" style="90" customWidth="1"/>
  </cols>
  <sheetData>
    <row r="1" spans="1:16" ht="22.5" customHeight="1">
      <c r="A1" s="243" t="s">
        <v>447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  <c r="P1" s="243"/>
    </row>
    <row r="2" spans="1:16" ht="12.75">
      <c r="A2" s="112"/>
      <c r="B2" s="112"/>
      <c r="C2" s="112"/>
      <c r="D2" s="113"/>
      <c r="E2" s="114"/>
      <c r="F2" s="114"/>
      <c r="G2" s="114"/>
      <c r="H2" s="112"/>
      <c r="I2" s="112"/>
      <c r="J2" s="115"/>
      <c r="K2" s="115"/>
      <c r="L2" s="115"/>
      <c r="M2" s="115"/>
      <c r="N2" s="115"/>
      <c r="O2" s="115"/>
      <c r="P2" s="115"/>
    </row>
    <row r="3" spans="1:16" s="39" customFormat="1" ht="15" customHeight="1">
      <c r="A3" s="242" t="s">
        <v>423</v>
      </c>
      <c r="B3" s="242"/>
      <c r="C3" s="242"/>
      <c r="D3" s="242"/>
      <c r="E3" s="242"/>
      <c r="F3" s="242"/>
      <c r="G3" s="242"/>
      <c r="H3" s="242"/>
      <c r="I3" s="242"/>
      <c r="J3" s="242"/>
      <c r="K3" s="242"/>
      <c r="L3" s="242"/>
      <c r="M3" s="242"/>
      <c r="N3" s="242"/>
      <c r="O3" s="242"/>
      <c r="P3" s="242"/>
    </row>
    <row r="4" spans="1:16" s="39" customFormat="1" ht="15" customHeight="1">
      <c r="A4" s="242" t="s">
        <v>424</v>
      </c>
      <c r="B4" s="242"/>
      <c r="C4" s="242"/>
      <c r="D4" s="242"/>
      <c r="E4" s="242"/>
      <c r="F4" s="242"/>
      <c r="G4" s="242"/>
      <c r="H4" s="242"/>
      <c r="I4" s="242"/>
      <c r="J4" s="242"/>
      <c r="K4" s="242"/>
      <c r="L4" s="242"/>
      <c r="M4" s="242"/>
      <c r="N4" s="242"/>
      <c r="O4" s="242"/>
      <c r="P4" s="242"/>
    </row>
    <row r="5" spans="1:16" s="39" customFormat="1" ht="16.5">
      <c r="A5" s="242"/>
      <c r="B5" s="242"/>
      <c r="C5" s="242"/>
      <c r="D5" s="242"/>
      <c r="E5" s="242"/>
      <c r="F5" s="242"/>
      <c r="G5" s="242"/>
      <c r="H5" s="242"/>
      <c r="I5" s="242"/>
      <c r="J5" s="242"/>
      <c r="K5" s="242"/>
      <c r="L5" s="242"/>
      <c r="M5" s="242"/>
      <c r="N5" s="242"/>
      <c r="O5" s="242"/>
      <c r="P5" s="242"/>
    </row>
    <row r="6" spans="1:16" ht="13.5" thickBot="1">
      <c r="A6" s="112"/>
      <c r="B6" s="112"/>
      <c r="C6" s="112"/>
      <c r="D6" s="113"/>
      <c r="E6" s="114"/>
      <c r="F6" s="114"/>
      <c r="G6" s="114"/>
      <c r="H6" s="112"/>
      <c r="I6" s="112"/>
      <c r="J6" s="115"/>
      <c r="K6" s="115"/>
      <c r="L6" s="115"/>
      <c r="M6" s="115"/>
      <c r="N6" s="115"/>
      <c r="O6" s="115"/>
      <c r="P6" s="115"/>
    </row>
    <row r="7" spans="1:16" ht="45" customHeight="1">
      <c r="A7" s="116" t="s">
        <v>448</v>
      </c>
      <c r="B7" s="117" t="s">
        <v>449</v>
      </c>
      <c r="C7" s="117" t="s">
        <v>450</v>
      </c>
      <c r="D7" s="118" t="s">
        <v>451</v>
      </c>
      <c r="E7" s="119" t="s">
        <v>452</v>
      </c>
      <c r="F7" s="119" t="s">
        <v>453</v>
      </c>
      <c r="G7" s="119" t="s">
        <v>454</v>
      </c>
      <c r="H7" s="117" t="s">
        <v>455</v>
      </c>
      <c r="I7" s="117" t="s">
        <v>456</v>
      </c>
      <c r="J7" s="120" t="s">
        <v>457</v>
      </c>
      <c r="K7" s="120" t="s">
        <v>458</v>
      </c>
      <c r="L7" s="120" t="s">
        <v>459</v>
      </c>
      <c r="M7" s="120" t="s">
        <v>460</v>
      </c>
      <c r="N7" s="120" t="s">
        <v>461</v>
      </c>
      <c r="O7" s="120" t="s">
        <v>462</v>
      </c>
      <c r="P7" s="121" t="s">
        <v>463</v>
      </c>
    </row>
    <row r="8" spans="1:16" ht="12.75">
      <c r="A8" s="106" t="s">
        <v>0</v>
      </c>
      <c r="B8" s="107" t="s">
        <v>7</v>
      </c>
      <c r="C8" s="107" t="s">
        <v>8</v>
      </c>
      <c r="D8" s="108">
        <v>0</v>
      </c>
      <c r="E8" s="109">
        <v>0</v>
      </c>
      <c r="F8" s="109">
        <v>0</v>
      </c>
      <c r="G8" s="109">
        <v>0</v>
      </c>
      <c r="H8" s="107" t="s">
        <v>0</v>
      </c>
      <c r="I8" s="107" t="s">
        <v>353</v>
      </c>
      <c r="J8" s="110">
        <v>0</v>
      </c>
      <c r="K8" s="110">
        <v>0</v>
      </c>
      <c r="L8" s="110">
        <v>0</v>
      </c>
      <c r="M8" s="110">
        <v>0</v>
      </c>
      <c r="N8" s="110">
        <v>0</v>
      </c>
      <c r="O8" s="110">
        <v>0</v>
      </c>
      <c r="P8" s="111">
        <f>ROUND(218559.2,1)</f>
        <v>218559.2</v>
      </c>
    </row>
    <row r="9" spans="1:16" ht="12.75">
      <c r="A9" s="94" t="s">
        <v>0</v>
      </c>
      <c r="B9" s="95" t="s">
        <v>24</v>
      </c>
      <c r="C9" s="95" t="s">
        <v>8</v>
      </c>
      <c r="D9" s="96">
        <v>0</v>
      </c>
      <c r="E9" s="97">
        <v>0</v>
      </c>
      <c r="F9" s="97">
        <v>0</v>
      </c>
      <c r="G9" s="97">
        <v>0</v>
      </c>
      <c r="H9" s="95" t="s">
        <v>0</v>
      </c>
      <c r="I9" s="95" t="s">
        <v>352</v>
      </c>
      <c r="J9" s="98">
        <v>0</v>
      </c>
      <c r="K9" s="98">
        <v>0</v>
      </c>
      <c r="L9" s="98">
        <v>0</v>
      </c>
      <c r="M9" s="98">
        <v>0</v>
      </c>
      <c r="N9" s="98">
        <v>0</v>
      </c>
      <c r="O9" s="98">
        <v>0</v>
      </c>
      <c r="P9" s="99">
        <f>ROUND(230630.3,1)</f>
        <v>230630.3</v>
      </c>
    </row>
    <row r="10" spans="1:16" ht="12.75">
      <c r="A10" s="94" t="s">
        <v>0</v>
      </c>
      <c r="B10" s="95" t="s">
        <v>47</v>
      </c>
      <c r="C10" s="95" t="s">
        <v>8</v>
      </c>
      <c r="D10" s="96">
        <v>0</v>
      </c>
      <c r="E10" s="97">
        <v>0</v>
      </c>
      <c r="F10" s="97">
        <v>0</v>
      </c>
      <c r="G10" s="97">
        <v>0</v>
      </c>
      <c r="H10" s="95" t="s">
        <v>0</v>
      </c>
      <c r="I10" s="95" t="s">
        <v>351</v>
      </c>
      <c r="J10" s="98">
        <v>0</v>
      </c>
      <c r="K10" s="98">
        <v>0</v>
      </c>
      <c r="L10" s="98">
        <v>0</v>
      </c>
      <c r="M10" s="98">
        <v>0</v>
      </c>
      <c r="N10" s="98">
        <v>0</v>
      </c>
      <c r="O10" s="98">
        <v>0</v>
      </c>
      <c r="P10" s="99">
        <f>ROUND(252200,1)</f>
        <v>252200</v>
      </c>
    </row>
    <row r="11" spans="1:16" ht="12.75">
      <c r="A11" s="94" t="s">
        <v>350</v>
      </c>
      <c r="B11" s="95" t="s">
        <v>59</v>
      </c>
      <c r="C11" s="95" t="s">
        <v>10</v>
      </c>
      <c r="D11" s="96">
        <v>250</v>
      </c>
      <c r="E11" s="97">
        <v>9</v>
      </c>
      <c r="F11" s="97">
        <v>5.1</v>
      </c>
      <c r="G11" s="97">
        <v>5</v>
      </c>
      <c r="H11" s="95" t="s">
        <v>334</v>
      </c>
      <c r="I11" s="95" t="s">
        <v>333</v>
      </c>
      <c r="J11" s="98">
        <v>645827</v>
      </c>
      <c r="K11" s="98">
        <f>J11*(1-0.1)*E11/D11*10</f>
        <v>209247.948</v>
      </c>
      <c r="L11" s="98">
        <f aca="true" t="shared" si="0" ref="L11:L21">J11*F11/D11*10</f>
        <v>131748.70799999998</v>
      </c>
      <c r="M11" s="98">
        <f>25*16717*1.03</f>
        <v>430462.75</v>
      </c>
      <c r="N11" s="98">
        <f>(1*227033.9+1*317847.5)*1</f>
        <v>544881.4</v>
      </c>
      <c r="O11" s="98">
        <f aca="true" t="shared" si="1" ref="O11:O21">J11*G11/D11*10</f>
        <v>129165.40000000001</v>
      </c>
      <c r="P11" s="99">
        <f aca="true" t="shared" si="2" ref="P11:P21">ROUND(K11+L11+M11+N11+O11,1)</f>
        <v>1445506.2</v>
      </c>
    </row>
    <row r="12" spans="1:16" ht="12.75">
      <c r="A12" s="94" t="s">
        <v>349</v>
      </c>
      <c r="B12" s="95" t="s">
        <v>104</v>
      </c>
      <c r="C12" s="95" t="s">
        <v>10</v>
      </c>
      <c r="D12" s="96">
        <v>200</v>
      </c>
      <c r="E12" s="97">
        <v>21</v>
      </c>
      <c r="F12" s="97">
        <v>4.8</v>
      </c>
      <c r="G12" s="97">
        <v>5</v>
      </c>
      <c r="H12" s="95" t="s">
        <v>348</v>
      </c>
      <c r="I12" s="95" t="s">
        <v>343</v>
      </c>
      <c r="J12" s="98">
        <v>16000</v>
      </c>
      <c r="K12" s="98">
        <f>J12*E12/D12*10</f>
        <v>16800</v>
      </c>
      <c r="L12" s="98">
        <f t="shared" si="0"/>
        <v>3840</v>
      </c>
      <c r="M12" s="98">
        <f>48*1864.4*1.05</f>
        <v>93965.76000000001</v>
      </c>
      <c r="N12" s="98">
        <f>(1*290812.5)*1</f>
        <v>290812.5</v>
      </c>
      <c r="O12" s="98">
        <f t="shared" si="1"/>
        <v>4000</v>
      </c>
      <c r="P12" s="99">
        <f t="shared" si="2"/>
        <v>409418.3</v>
      </c>
    </row>
    <row r="13" spans="1:16" ht="12.75">
      <c r="A13" s="94" t="s">
        <v>347</v>
      </c>
      <c r="B13" s="95" t="s">
        <v>25</v>
      </c>
      <c r="C13" s="95" t="s">
        <v>10</v>
      </c>
      <c r="D13" s="96">
        <v>165</v>
      </c>
      <c r="E13" s="97">
        <v>19</v>
      </c>
      <c r="F13" s="97">
        <v>6.5</v>
      </c>
      <c r="G13" s="97">
        <v>5</v>
      </c>
      <c r="H13" s="95" t="s">
        <v>346</v>
      </c>
      <c r="I13" s="95" t="s">
        <v>336</v>
      </c>
      <c r="J13" s="98">
        <v>30210</v>
      </c>
      <c r="K13" s="98">
        <f>J13*(1-0.1)*E13/D13*10</f>
        <v>31308.545454545456</v>
      </c>
      <c r="L13" s="98">
        <f t="shared" si="0"/>
        <v>11900.90909090909</v>
      </c>
      <c r="M13" s="98">
        <f>11*1864.4*1.05</f>
        <v>21533.820000000003</v>
      </c>
      <c r="N13" s="98">
        <f>(1*244987.5)*1</f>
        <v>244987.5</v>
      </c>
      <c r="O13" s="98">
        <f t="shared" si="1"/>
        <v>9154.545454545456</v>
      </c>
      <c r="P13" s="99">
        <f t="shared" si="2"/>
        <v>318885.3</v>
      </c>
    </row>
    <row r="14" spans="1:16" ht="12.75">
      <c r="A14" s="94" t="s">
        <v>345</v>
      </c>
      <c r="B14" s="95" t="s">
        <v>9</v>
      </c>
      <c r="C14" s="95" t="s">
        <v>10</v>
      </c>
      <c r="D14" s="96">
        <v>280</v>
      </c>
      <c r="E14" s="97">
        <v>17</v>
      </c>
      <c r="F14" s="97">
        <v>5.8</v>
      </c>
      <c r="G14" s="97">
        <v>5</v>
      </c>
      <c r="H14" s="95" t="s">
        <v>344</v>
      </c>
      <c r="I14" s="95" t="s">
        <v>343</v>
      </c>
      <c r="J14" s="98">
        <v>809944</v>
      </c>
      <c r="K14" s="98">
        <f>J14*(1-0.1)*E14/D14*10</f>
        <v>442576.54285714286</v>
      </c>
      <c r="L14" s="98">
        <f t="shared" si="0"/>
        <v>167774.11428571428</v>
      </c>
      <c r="M14" s="98">
        <f>43*16717*1.03</f>
        <v>740395.93</v>
      </c>
      <c r="N14" s="98">
        <f>(1*290812.5)*1</f>
        <v>290812.5</v>
      </c>
      <c r="O14" s="98">
        <f t="shared" si="1"/>
        <v>144632.85714285713</v>
      </c>
      <c r="P14" s="99">
        <f t="shared" si="2"/>
        <v>1786191.9</v>
      </c>
    </row>
    <row r="15" spans="1:16" ht="12.75">
      <c r="A15" s="94" t="s">
        <v>342</v>
      </c>
      <c r="B15" s="95" t="s">
        <v>26</v>
      </c>
      <c r="C15" s="95" t="s">
        <v>10</v>
      </c>
      <c r="D15" s="96">
        <v>150</v>
      </c>
      <c r="E15" s="97">
        <v>25</v>
      </c>
      <c r="F15" s="97">
        <v>8.8</v>
      </c>
      <c r="G15" s="97">
        <v>4</v>
      </c>
      <c r="H15" s="95" t="s">
        <v>341</v>
      </c>
      <c r="I15" s="95" t="s">
        <v>336</v>
      </c>
      <c r="J15" s="98">
        <v>6420</v>
      </c>
      <c r="K15" s="98">
        <f>J15*E15/D15*10</f>
        <v>10700</v>
      </c>
      <c r="L15" s="98">
        <f t="shared" si="0"/>
        <v>3766.4000000000005</v>
      </c>
      <c r="M15" s="98">
        <f>5*1864.4*1.05</f>
        <v>9788.1</v>
      </c>
      <c r="N15" s="98">
        <f>(1*244987.5)*1</f>
        <v>244987.5</v>
      </c>
      <c r="O15" s="98">
        <f t="shared" si="1"/>
        <v>1712</v>
      </c>
      <c r="P15" s="99">
        <f t="shared" si="2"/>
        <v>270954</v>
      </c>
    </row>
    <row r="16" spans="1:16" ht="12.75">
      <c r="A16" s="94" t="s">
        <v>340</v>
      </c>
      <c r="B16" s="95" t="s">
        <v>33</v>
      </c>
      <c r="C16" s="95" t="s">
        <v>10</v>
      </c>
      <c r="D16" s="96">
        <v>150</v>
      </c>
      <c r="E16" s="97">
        <v>20</v>
      </c>
      <c r="F16" s="97">
        <v>8.8</v>
      </c>
      <c r="G16" s="97">
        <v>4</v>
      </c>
      <c r="H16" s="95" t="s">
        <v>339</v>
      </c>
      <c r="I16" s="95" t="s">
        <v>336</v>
      </c>
      <c r="J16" s="98">
        <v>7395</v>
      </c>
      <c r="K16" s="98">
        <f>J16*E16/D16*10</f>
        <v>9860</v>
      </c>
      <c r="L16" s="98">
        <f t="shared" si="0"/>
        <v>4338.400000000001</v>
      </c>
      <c r="M16" s="98">
        <f>7*1864.4*1.05</f>
        <v>13703.340000000002</v>
      </c>
      <c r="N16" s="98">
        <f>(1*244987.5)*1</f>
        <v>244987.5</v>
      </c>
      <c r="O16" s="98">
        <f t="shared" si="1"/>
        <v>1972</v>
      </c>
      <c r="P16" s="99">
        <f t="shared" si="2"/>
        <v>274861.2</v>
      </c>
    </row>
    <row r="17" spans="1:16" ht="12.75">
      <c r="A17" s="94" t="s">
        <v>338</v>
      </c>
      <c r="B17" s="95" t="s">
        <v>52</v>
      </c>
      <c r="C17" s="95" t="s">
        <v>10</v>
      </c>
      <c r="D17" s="96">
        <v>200</v>
      </c>
      <c r="E17" s="97">
        <v>20</v>
      </c>
      <c r="F17" s="97">
        <v>5.4</v>
      </c>
      <c r="G17" s="97">
        <v>4</v>
      </c>
      <c r="H17" s="95" t="s">
        <v>337</v>
      </c>
      <c r="I17" s="95" t="s">
        <v>336</v>
      </c>
      <c r="J17" s="98">
        <v>35771</v>
      </c>
      <c r="K17" s="98">
        <f>J17*(1-0.1)*E17/D17*10</f>
        <v>32193.899999999998</v>
      </c>
      <c r="L17" s="98">
        <f t="shared" si="0"/>
        <v>9658.170000000002</v>
      </c>
      <c r="M17" s="98">
        <f>4*20409*1.02</f>
        <v>83268.72</v>
      </c>
      <c r="N17" s="98">
        <f>(1*244987.5)*1</f>
        <v>244987.5</v>
      </c>
      <c r="O17" s="98">
        <f t="shared" si="1"/>
        <v>7154.2</v>
      </c>
      <c r="P17" s="99">
        <f t="shared" si="2"/>
        <v>377262.5</v>
      </c>
    </row>
    <row r="18" spans="1:16" ht="12.75">
      <c r="A18" s="94" t="s">
        <v>335</v>
      </c>
      <c r="B18" s="95" t="s">
        <v>80</v>
      </c>
      <c r="C18" s="95" t="s">
        <v>10</v>
      </c>
      <c r="D18" s="96">
        <v>280</v>
      </c>
      <c r="E18" s="97">
        <v>13</v>
      </c>
      <c r="F18" s="97">
        <v>4</v>
      </c>
      <c r="G18" s="97">
        <v>5</v>
      </c>
      <c r="H18" s="95" t="s">
        <v>334</v>
      </c>
      <c r="I18" s="95" t="s">
        <v>333</v>
      </c>
      <c r="J18" s="98">
        <v>731758</v>
      </c>
      <c r="K18" s="98">
        <f>J18*(1-0.1)*E18/D18*10</f>
        <v>305770.30714285723</v>
      </c>
      <c r="L18" s="98">
        <f t="shared" si="0"/>
        <v>104536.85714285713</v>
      </c>
      <c r="M18" s="98">
        <f>25*16717*1.03</f>
        <v>430462.75</v>
      </c>
      <c r="N18" s="98">
        <f>(1*227033.9+1*317847.5)*1</f>
        <v>544881.4</v>
      </c>
      <c r="O18" s="98">
        <f t="shared" si="1"/>
        <v>130671.07142857143</v>
      </c>
      <c r="P18" s="99">
        <f t="shared" si="2"/>
        <v>1516322.4</v>
      </c>
    </row>
    <row r="19" spans="1:16" ht="12.75">
      <c r="A19" s="94" t="s">
        <v>335</v>
      </c>
      <c r="B19" s="95" t="s">
        <v>105</v>
      </c>
      <c r="C19" s="95" t="s">
        <v>10</v>
      </c>
      <c r="D19" s="96">
        <v>280</v>
      </c>
      <c r="E19" s="97">
        <v>13</v>
      </c>
      <c r="F19" s="97">
        <v>4</v>
      </c>
      <c r="G19" s="97">
        <v>5</v>
      </c>
      <c r="H19" s="95" t="s">
        <v>334</v>
      </c>
      <c r="I19" s="95" t="s">
        <v>333</v>
      </c>
      <c r="J19" s="98">
        <v>731758</v>
      </c>
      <c r="K19" s="98">
        <f>J19*(1-0.1)*E19/D19*10</f>
        <v>305770.30714285723</v>
      </c>
      <c r="L19" s="98">
        <f t="shared" si="0"/>
        <v>104536.85714285713</v>
      </c>
      <c r="M19" s="98">
        <f>25*16717*1.03</f>
        <v>430462.75</v>
      </c>
      <c r="N19" s="98">
        <f>(1*227033.9+1*317847.5)*1</f>
        <v>544881.4</v>
      </c>
      <c r="O19" s="98">
        <f t="shared" si="1"/>
        <v>130671.07142857143</v>
      </c>
      <c r="P19" s="99">
        <f t="shared" si="2"/>
        <v>1516322.4</v>
      </c>
    </row>
    <row r="20" spans="1:16" ht="12.75">
      <c r="A20" s="94" t="s">
        <v>332</v>
      </c>
      <c r="B20" s="95" t="s">
        <v>176</v>
      </c>
      <c r="C20" s="95" t="s">
        <v>10</v>
      </c>
      <c r="D20" s="96">
        <v>260</v>
      </c>
      <c r="E20" s="97">
        <v>17</v>
      </c>
      <c r="F20" s="97">
        <v>7.3</v>
      </c>
      <c r="G20" s="97">
        <v>6</v>
      </c>
      <c r="H20" s="95" t="s">
        <v>331</v>
      </c>
      <c r="I20" s="95" t="s">
        <v>328</v>
      </c>
      <c r="J20" s="98">
        <v>616643</v>
      </c>
      <c r="K20" s="98">
        <f>J20*(1-0.1)*E20/D20*10</f>
        <v>362870.68846153846</v>
      </c>
      <c r="L20" s="98">
        <f t="shared" si="0"/>
        <v>173134.38076923075</v>
      </c>
      <c r="M20" s="98">
        <f>46*16717*1.03</f>
        <v>792051.46</v>
      </c>
      <c r="N20" s="98">
        <f>(1*267900)*1</f>
        <v>267900</v>
      </c>
      <c r="O20" s="98">
        <f t="shared" si="1"/>
        <v>142302.23076923078</v>
      </c>
      <c r="P20" s="99">
        <f t="shared" si="2"/>
        <v>1738258.8</v>
      </c>
    </row>
    <row r="21" spans="1:16" ht="13.5" thickBot="1">
      <c r="A21" s="100" t="s">
        <v>330</v>
      </c>
      <c r="B21" s="101" t="s">
        <v>194</v>
      </c>
      <c r="C21" s="101" t="s">
        <v>10</v>
      </c>
      <c r="D21" s="102">
        <v>250</v>
      </c>
      <c r="E21" s="103">
        <v>17</v>
      </c>
      <c r="F21" s="103">
        <v>6.2</v>
      </c>
      <c r="G21" s="103">
        <v>6</v>
      </c>
      <c r="H21" s="101" t="s">
        <v>329</v>
      </c>
      <c r="I21" s="101" t="s">
        <v>328</v>
      </c>
      <c r="J21" s="104">
        <v>427131</v>
      </c>
      <c r="K21" s="104">
        <f>J21*(1-0.1)*E21/D21*10</f>
        <v>261404.17200000002</v>
      </c>
      <c r="L21" s="104">
        <f t="shared" si="0"/>
        <v>105928.48800000001</v>
      </c>
      <c r="M21" s="104">
        <f>31*16717*1.03</f>
        <v>533773.81</v>
      </c>
      <c r="N21" s="104">
        <f>(1*267900)*1</f>
        <v>267900</v>
      </c>
      <c r="O21" s="104">
        <f t="shared" si="1"/>
        <v>102511.44</v>
      </c>
      <c r="P21" s="105">
        <f t="shared" si="2"/>
        <v>1271517.9</v>
      </c>
    </row>
  </sheetData>
  <sheetProtection/>
  <mergeCells count="4">
    <mergeCell ref="A1:P1"/>
    <mergeCell ref="A3:P3"/>
    <mergeCell ref="A4:P4"/>
    <mergeCell ref="A5:P5"/>
  </mergeCells>
  <printOptions horizontalCentered="1"/>
  <pageMargins left="0.4" right="0.2" top="0.5" bottom="0.5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70"/>
  <sheetViews>
    <sheetView showZeros="0" zoomScalePageLayoutView="0" workbookViewId="0" topLeftCell="A4">
      <selection activeCell="A1" sqref="A1:Q1"/>
    </sheetView>
  </sheetViews>
  <sheetFormatPr defaultColWidth="8.796875" defaultRowHeight="15"/>
  <cols>
    <col min="1" max="1" width="3.59765625" style="41" customWidth="1"/>
    <col min="2" max="2" width="18.5" style="41" customWidth="1"/>
    <col min="3" max="3" width="4.09765625" style="41" customWidth="1"/>
    <col min="4" max="4" width="13.59765625" style="41" customWidth="1"/>
    <col min="5" max="5" width="10.3984375" style="41" customWidth="1"/>
    <col min="6" max="9" width="3.5" style="129" customWidth="1"/>
    <col min="10" max="10" width="7" style="42" customWidth="1"/>
    <col min="11" max="13" width="4.3984375" style="132" customWidth="1"/>
    <col min="14" max="15" width="9.3984375" style="42" customWidth="1"/>
    <col min="16" max="17" width="10.8984375" style="42" customWidth="1"/>
    <col min="18" max="18" width="12" style="41" customWidth="1"/>
    <col min="19" max="16384" width="9" style="41" customWidth="1"/>
  </cols>
  <sheetData>
    <row r="1" spans="1:17" ht="21" customHeight="1">
      <c r="A1" s="243" t="s">
        <v>464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  <c r="P1" s="243"/>
      <c r="Q1" s="243"/>
    </row>
    <row r="2" spans="1:17" ht="14.25">
      <c r="A2" s="44"/>
      <c r="B2" s="44"/>
      <c r="C2" s="44"/>
      <c r="D2" s="44"/>
      <c r="E2" s="44"/>
      <c r="F2" s="141"/>
      <c r="G2" s="141"/>
      <c r="H2" s="141"/>
      <c r="I2" s="141"/>
      <c r="J2" s="45"/>
      <c r="K2" s="142"/>
      <c r="L2" s="142"/>
      <c r="M2" s="142"/>
      <c r="N2" s="45"/>
      <c r="O2" s="45"/>
      <c r="P2" s="45"/>
      <c r="Q2" s="45"/>
    </row>
    <row r="3" spans="1:17" s="39" customFormat="1" ht="16.5" customHeight="1">
      <c r="A3" s="242" t="s">
        <v>423</v>
      </c>
      <c r="B3" s="242"/>
      <c r="C3" s="242"/>
      <c r="D3" s="242"/>
      <c r="E3" s="242"/>
      <c r="F3" s="242"/>
      <c r="G3" s="242"/>
      <c r="H3" s="242"/>
      <c r="I3" s="242"/>
      <c r="J3" s="242"/>
      <c r="K3" s="242"/>
      <c r="L3" s="242"/>
      <c r="M3" s="242"/>
      <c r="N3" s="242"/>
      <c r="O3" s="242"/>
      <c r="P3" s="242"/>
      <c r="Q3" s="242"/>
    </row>
    <row r="4" spans="1:17" s="39" customFormat="1" ht="16.5" customHeight="1">
      <c r="A4" s="242" t="s">
        <v>424</v>
      </c>
      <c r="B4" s="242"/>
      <c r="C4" s="242"/>
      <c r="D4" s="242"/>
      <c r="E4" s="242"/>
      <c r="F4" s="242"/>
      <c r="G4" s="242"/>
      <c r="H4" s="242"/>
      <c r="I4" s="242"/>
      <c r="J4" s="242"/>
      <c r="K4" s="242"/>
      <c r="L4" s="242"/>
      <c r="M4" s="242"/>
      <c r="N4" s="242"/>
      <c r="O4" s="242"/>
      <c r="P4" s="242"/>
      <c r="Q4" s="242"/>
    </row>
    <row r="5" spans="1:17" s="39" customFormat="1" ht="16.5" customHeight="1">
      <c r="A5" s="242"/>
      <c r="B5" s="242"/>
      <c r="C5" s="242"/>
      <c r="D5" s="242"/>
      <c r="E5" s="242"/>
      <c r="F5" s="242"/>
      <c r="G5" s="242"/>
      <c r="H5" s="242"/>
      <c r="I5" s="242"/>
      <c r="J5" s="242"/>
      <c r="K5" s="242"/>
      <c r="L5" s="242"/>
      <c r="M5" s="242"/>
      <c r="N5" s="242"/>
      <c r="O5" s="242"/>
      <c r="P5" s="242"/>
      <c r="Q5" s="242"/>
    </row>
    <row r="6" spans="1:17" ht="15" thickBot="1">
      <c r="A6" s="44"/>
      <c r="B6" s="44"/>
      <c r="C6" s="44"/>
      <c r="D6" s="44"/>
      <c r="E6" s="44"/>
      <c r="F6" s="141"/>
      <c r="G6" s="141"/>
      <c r="H6" s="141"/>
      <c r="I6" s="141"/>
      <c r="J6" s="45"/>
      <c r="K6" s="142"/>
      <c r="L6" s="142"/>
      <c r="M6" s="142"/>
      <c r="N6" s="45"/>
      <c r="O6" s="45"/>
      <c r="P6" s="45"/>
      <c r="Q6" s="45"/>
    </row>
    <row r="7" spans="1:18" ht="45" customHeight="1">
      <c r="A7" s="146" t="s">
        <v>276</v>
      </c>
      <c r="B7" s="147" t="s">
        <v>465</v>
      </c>
      <c r="C7" s="148" t="s">
        <v>437</v>
      </c>
      <c r="D7" s="147" t="s">
        <v>466</v>
      </c>
      <c r="E7" s="147" t="s">
        <v>467</v>
      </c>
      <c r="F7" s="143" t="s">
        <v>468</v>
      </c>
      <c r="G7" s="143" t="s">
        <v>469</v>
      </c>
      <c r="H7" s="143" t="s">
        <v>470</v>
      </c>
      <c r="I7" s="143" t="s">
        <v>471</v>
      </c>
      <c r="J7" s="144" t="s">
        <v>472</v>
      </c>
      <c r="K7" s="145" t="s">
        <v>473</v>
      </c>
      <c r="L7" s="145" t="s">
        <v>474</v>
      </c>
      <c r="M7" s="145" t="s">
        <v>475</v>
      </c>
      <c r="N7" s="149" t="s">
        <v>476</v>
      </c>
      <c r="O7" s="149" t="s">
        <v>477</v>
      </c>
      <c r="P7" s="150" t="s">
        <v>478</v>
      </c>
      <c r="Q7" s="151" t="s">
        <v>479</v>
      </c>
      <c r="R7" s="41" t="s">
        <v>327</v>
      </c>
    </row>
    <row r="8" spans="1:18" ht="14.25">
      <c r="A8" s="135" t="s">
        <v>0</v>
      </c>
      <c r="B8" s="136" t="s">
        <v>0</v>
      </c>
      <c r="C8" s="136" t="s">
        <v>0</v>
      </c>
      <c r="D8" s="136" t="s">
        <v>0</v>
      </c>
      <c r="E8" s="136" t="s">
        <v>0</v>
      </c>
      <c r="F8" s="137" t="s">
        <v>0</v>
      </c>
      <c r="G8" s="137" t="s">
        <v>0</v>
      </c>
      <c r="H8" s="137"/>
      <c r="I8" s="137" t="s">
        <v>0</v>
      </c>
      <c r="J8" s="138"/>
      <c r="K8" s="139"/>
      <c r="L8" s="139"/>
      <c r="M8" s="139"/>
      <c r="N8" s="138"/>
      <c r="O8" s="138"/>
      <c r="P8" s="138"/>
      <c r="Q8" s="140">
        <v>0</v>
      </c>
      <c r="R8" s="41" t="s">
        <v>0</v>
      </c>
    </row>
    <row r="9" spans="1:18" ht="14.25">
      <c r="A9" s="49" t="s">
        <v>2</v>
      </c>
      <c r="B9" s="50" t="s">
        <v>407</v>
      </c>
      <c r="C9" s="50" t="s">
        <v>126</v>
      </c>
      <c r="D9" s="50" t="s">
        <v>0</v>
      </c>
      <c r="E9" s="50" t="s">
        <v>0</v>
      </c>
      <c r="F9" s="130" t="s">
        <v>0</v>
      </c>
      <c r="G9" s="130" t="s">
        <v>0</v>
      </c>
      <c r="H9" s="130"/>
      <c r="I9" s="130" t="s">
        <v>354</v>
      </c>
      <c r="J9" s="51"/>
      <c r="K9" s="133"/>
      <c r="L9" s="133"/>
      <c r="M9" s="133"/>
      <c r="N9" s="125"/>
      <c r="O9" s="125"/>
      <c r="P9" s="125">
        <v>16691</v>
      </c>
      <c r="Q9" s="126">
        <f>N9+O9+P9</f>
        <v>16691</v>
      </c>
      <c r="R9" s="41" t="s">
        <v>0</v>
      </c>
    </row>
    <row r="10" spans="1:18" ht="14.25">
      <c r="A10" s="49" t="s">
        <v>11</v>
      </c>
      <c r="B10" s="50" t="s">
        <v>406</v>
      </c>
      <c r="C10" s="50" t="s">
        <v>126</v>
      </c>
      <c r="D10" s="50" t="s">
        <v>0</v>
      </c>
      <c r="E10" s="50" t="s">
        <v>0</v>
      </c>
      <c r="F10" s="130" t="s">
        <v>0</v>
      </c>
      <c r="G10" s="130" t="s">
        <v>0</v>
      </c>
      <c r="H10" s="130"/>
      <c r="I10" s="130" t="s">
        <v>354</v>
      </c>
      <c r="J10" s="51"/>
      <c r="K10" s="133"/>
      <c r="L10" s="133"/>
      <c r="M10" s="133"/>
      <c r="N10" s="125"/>
      <c r="O10" s="125"/>
      <c r="P10" s="125">
        <v>41800</v>
      </c>
      <c r="Q10" s="126">
        <f>N10+O10+P10</f>
        <v>41800</v>
      </c>
      <c r="R10" s="41" t="s">
        <v>0</v>
      </c>
    </row>
    <row r="11" spans="1:18" ht="14.25">
      <c r="A11" s="49" t="s">
        <v>14</v>
      </c>
      <c r="B11" s="50" t="s">
        <v>405</v>
      </c>
      <c r="C11" s="50" t="s">
        <v>103</v>
      </c>
      <c r="D11" s="50" t="s">
        <v>0</v>
      </c>
      <c r="E11" s="50" t="s">
        <v>0</v>
      </c>
      <c r="F11" s="130" t="s">
        <v>0</v>
      </c>
      <c r="G11" s="130" t="s">
        <v>0</v>
      </c>
      <c r="H11" s="130"/>
      <c r="I11" s="130" t="s">
        <v>354</v>
      </c>
      <c r="J11" s="51"/>
      <c r="K11" s="133"/>
      <c r="L11" s="133"/>
      <c r="M11" s="133"/>
      <c r="N11" s="125"/>
      <c r="O11" s="125"/>
      <c r="P11" s="125">
        <v>333615</v>
      </c>
      <c r="Q11" s="126">
        <f>N11+O11+P11</f>
        <v>333615</v>
      </c>
      <c r="R11" s="41" t="s">
        <v>0</v>
      </c>
    </row>
    <row r="12" spans="1:18" ht="14.25">
      <c r="A12" s="49" t="s">
        <v>27</v>
      </c>
      <c r="B12" s="50" t="s">
        <v>404</v>
      </c>
      <c r="C12" s="50" t="s">
        <v>103</v>
      </c>
      <c r="D12" s="50" t="s">
        <v>0</v>
      </c>
      <c r="E12" s="50" t="s">
        <v>0</v>
      </c>
      <c r="F12" s="130" t="s">
        <v>0</v>
      </c>
      <c r="G12" s="130" t="s">
        <v>0</v>
      </c>
      <c r="H12" s="130"/>
      <c r="I12" s="130" t="s">
        <v>354</v>
      </c>
      <c r="J12" s="51"/>
      <c r="K12" s="133"/>
      <c r="L12" s="133"/>
      <c r="M12" s="133"/>
      <c r="N12" s="125"/>
      <c r="O12" s="125"/>
      <c r="P12" s="125">
        <v>22267</v>
      </c>
      <c r="Q12" s="126">
        <f>N12+O12+P12</f>
        <v>22267</v>
      </c>
      <c r="R12" s="41" t="s">
        <v>0</v>
      </c>
    </row>
    <row r="13" spans="1:18" ht="14.25">
      <c r="A13" s="49" t="s">
        <v>34</v>
      </c>
      <c r="B13" s="50" t="s">
        <v>403</v>
      </c>
      <c r="C13" s="50" t="s">
        <v>21</v>
      </c>
      <c r="D13" s="50" t="s">
        <v>0</v>
      </c>
      <c r="E13" s="50" t="s">
        <v>0</v>
      </c>
      <c r="F13" s="130" t="s">
        <v>0</v>
      </c>
      <c r="G13" s="130" t="s">
        <v>0</v>
      </c>
      <c r="H13" s="130"/>
      <c r="I13" s="130" t="s">
        <v>402</v>
      </c>
      <c r="J13" s="51"/>
      <c r="K13" s="133"/>
      <c r="L13" s="133"/>
      <c r="M13" s="133"/>
      <c r="N13" s="125">
        <f>SUM(N14:N16)</f>
        <v>20207.300000000003</v>
      </c>
      <c r="O13" s="125"/>
      <c r="P13" s="125">
        <v>318182</v>
      </c>
      <c r="Q13" s="126">
        <f>N13+O13+P13</f>
        <v>338389.3</v>
      </c>
      <c r="R13" s="41" t="s">
        <v>0</v>
      </c>
    </row>
    <row r="14" spans="1:18" ht="14.25">
      <c r="A14" s="49" t="s">
        <v>0</v>
      </c>
      <c r="B14" s="50" t="s">
        <v>401</v>
      </c>
      <c r="C14" s="50" t="s">
        <v>0</v>
      </c>
      <c r="D14" s="50" t="s">
        <v>400</v>
      </c>
      <c r="E14" s="50" t="s">
        <v>0</v>
      </c>
      <c r="F14" s="130" t="s">
        <v>0</v>
      </c>
      <c r="G14" s="130" t="s">
        <v>27</v>
      </c>
      <c r="H14" s="130">
        <v>1</v>
      </c>
      <c r="I14" s="130" t="s">
        <v>0</v>
      </c>
      <c r="J14" s="51">
        <f>('Phan tich don gia'!G245)/10</f>
        <v>4693.29876</v>
      </c>
      <c r="K14" s="133">
        <v>1.35</v>
      </c>
      <c r="L14" s="133"/>
      <c r="M14" s="133"/>
      <c r="N14" s="51">
        <f>ROUND(J14*K14*H14,1)</f>
        <v>6336</v>
      </c>
      <c r="O14" s="51"/>
      <c r="P14" s="51"/>
      <c r="Q14" s="124">
        <v>0</v>
      </c>
      <c r="R14" s="41" t="s">
        <v>0</v>
      </c>
    </row>
    <row r="15" spans="1:18" ht="14.25">
      <c r="A15" s="49" t="s">
        <v>0</v>
      </c>
      <c r="B15" s="50" t="s">
        <v>399</v>
      </c>
      <c r="C15" s="50" t="s">
        <v>0</v>
      </c>
      <c r="D15" s="50" t="s">
        <v>0</v>
      </c>
      <c r="E15" s="50" t="s">
        <v>0</v>
      </c>
      <c r="F15" s="130" t="s">
        <v>0</v>
      </c>
      <c r="G15" s="130" t="s">
        <v>2</v>
      </c>
      <c r="H15" s="130">
        <v>5</v>
      </c>
      <c r="I15" s="130" t="s">
        <v>0</v>
      </c>
      <c r="J15" s="51">
        <f>('Phan tich don gia'!G250)/10</f>
        <v>3302.6917200000003</v>
      </c>
      <c r="K15" s="133">
        <v>0.57</v>
      </c>
      <c r="L15" s="133"/>
      <c r="M15" s="133"/>
      <c r="N15" s="51">
        <f>ROUND(J15*K15*H15,1)</f>
        <v>9412.7</v>
      </c>
      <c r="O15" s="51"/>
      <c r="P15" s="51"/>
      <c r="Q15" s="124">
        <v>0</v>
      </c>
      <c r="R15" s="41" t="s">
        <v>0</v>
      </c>
    </row>
    <row r="16" spans="1:18" ht="14.25">
      <c r="A16" s="49" t="s">
        <v>0</v>
      </c>
      <c r="B16" s="50" t="s">
        <v>399</v>
      </c>
      <c r="C16" s="50" t="s">
        <v>0</v>
      </c>
      <c r="D16" s="50" t="s">
        <v>0</v>
      </c>
      <c r="E16" s="50" t="s">
        <v>360</v>
      </c>
      <c r="F16" s="130" t="s">
        <v>0</v>
      </c>
      <c r="G16" s="130" t="s">
        <v>27</v>
      </c>
      <c r="H16" s="130">
        <v>1</v>
      </c>
      <c r="I16" s="130" t="s">
        <v>0</v>
      </c>
      <c r="J16" s="51">
        <f>('Phan tich don gia'!G250)/10</f>
        <v>3302.6917200000003</v>
      </c>
      <c r="K16" s="133">
        <v>1.35</v>
      </c>
      <c r="L16" s="133"/>
      <c r="M16" s="133"/>
      <c r="N16" s="51">
        <f>ROUND(J16*K16*H16,1)</f>
        <v>4458.6</v>
      </c>
      <c r="O16" s="51"/>
      <c r="P16" s="51"/>
      <c r="Q16" s="124">
        <v>0</v>
      </c>
      <c r="R16" s="41" t="s">
        <v>0</v>
      </c>
    </row>
    <row r="17" spans="1:18" ht="14.25">
      <c r="A17" s="49" t="s">
        <v>39</v>
      </c>
      <c r="B17" s="50" t="s">
        <v>398</v>
      </c>
      <c r="C17" s="50" t="s">
        <v>77</v>
      </c>
      <c r="D17" s="50" t="s">
        <v>0</v>
      </c>
      <c r="E17" s="50" t="s">
        <v>0</v>
      </c>
      <c r="F17" s="130" t="s">
        <v>0</v>
      </c>
      <c r="G17" s="130" t="s">
        <v>0</v>
      </c>
      <c r="H17" s="130"/>
      <c r="I17" s="130" t="s">
        <v>354</v>
      </c>
      <c r="J17" s="51"/>
      <c r="K17" s="133"/>
      <c r="L17" s="133"/>
      <c r="M17" s="133"/>
      <c r="N17" s="125"/>
      <c r="O17" s="125"/>
      <c r="P17" s="125">
        <v>698289</v>
      </c>
      <c r="Q17" s="126">
        <f aca="true" t="shared" si="0" ref="Q17:Q41">N17+O17+P17</f>
        <v>698289</v>
      </c>
      <c r="R17" s="41" t="s">
        <v>0</v>
      </c>
    </row>
    <row r="18" spans="1:18" ht="14.25">
      <c r="A18" s="49" t="s">
        <v>48</v>
      </c>
      <c r="B18" s="50" t="s">
        <v>397</v>
      </c>
      <c r="C18" s="50" t="s">
        <v>77</v>
      </c>
      <c r="D18" s="50" t="s">
        <v>0</v>
      </c>
      <c r="E18" s="50" t="s">
        <v>0</v>
      </c>
      <c r="F18" s="130" t="s">
        <v>0</v>
      </c>
      <c r="G18" s="130" t="s">
        <v>0</v>
      </c>
      <c r="H18" s="130"/>
      <c r="I18" s="130" t="s">
        <v>354</v>
      </c>
      <c r="J18" s="51"/>
      <c r="K18" s="133"/>
      <c r="L18" s="133"/>
      <c r="M18" s="133"/>
      <c r="N18" s="125"/>
      <c r="O18" s="125"/>
      <c r="P18" s="125">
        <v>780367</v>
      </c>
      <c r="Q18" s="126">
        <f t="shared" si="0"/>
        <v>780367</v>
      </c>
      <c r="R18" s="41" t="s">
        <v>0</v>
      </c>
    </row>
    <row r="19" spans="1:18" ht="14.25">
      <c r="A19" s="49" t="s">
        <v>53</v>
      </c>
      <c r="B19" s="50" t="s">
        <v>396</v>
      </c>
      <c r="C19" s="50" t="s">
        <v>58</v>
      </c>
      <c r="D19" s="50" t="s">
        <v>0</v>
      </c>
      <c r="E19" s="50" t="s">
        <v>0</v>
      </c>
      <c r="F19" s="130" t="s">
        <v>0</v>
      </c>
      <c r="G19" s="130" t="s">
        <v>0</v>
      </c>
      <c r="H19" s="130"/>
      <c r="I19" s="130" t="s">
        <v>354</v>
      </c>
      <c r="J19" s="51"/>
      <c r="K19" s="133"/>
      <c r="L19" s="133"/>
      <c r="M19" s="133"/>
      <c r="N19" s="125"/>
      <c r="O19" s="125"/>
      <c r="P19" s="125">
        <v>4416000</v>
      </c>
      <c r="Q19" s="126">
        <f t="shared" si="0"/>
        <v>4416000</v>
      </c>
      <c r="R19" s="41" t="s">
        <v>0</v>
      </c>
    </row>
    <row r="20" spans="1:18" ht="14.25">
      <c r="A20" s="49" t="s">
        <v>60</v>
      </c>
      <c r="B20" s="50" t="s">
        <v>395</v>
      </c>
      <c r="C20" s="50" t="s">
        <v>58</v>
      </c>
      <c r="D20" s="50" t="s">
        <v>0</v>
      </c>
      <c r="E20" s="50" t="s">
        <v>0</v>
      </c>
      <c r="F20" s="130" t="s">
        <v>0</v>
      </c>
      <c r="G20" s="130" t="s">
        <v>0</v>
      </c>
      <c r="H20" s="130"/>
      <c r="I20" s="130" t="s">
        <v>354</v>
      </c>
      <c r="J20" s="51"/>
      <c r="K20" s="133"/>
      <c r="L20" s="133"/>
      <c r="M20" s="133"/>
      <c r="N20" s="125"/>
      <c r="O20" s="125"/>
      <c r="P20" s="125">
        <v>4644000</v>
      </c>
      <c r="Q20" s="126">
        <f t="shared" si="0"/>
        <v>4644000</v>
      </c>
      <c r="R20" s="41" t="s">
        <v>0</v>
      </c>
    </row>
    <row r="21" spans="1:18" ht="14.25">
      <c r="A21" s="49" t="s">
        <v>64</v>
      </c>
      <c r="B21" s="50" t="s">
        <v>394</v>
      </c>
      <c r="C21" s="50" t="s">
        <v>58</v>
      </c>
      <c r="D21" s="50" t="s">
        <v>0</v>
      </c>
      <c r="E21" s="50" t="s">
        <v>0</v>
      </c>
      <c r="F21" s="130" t="s">
        <v>0</v>
      </c>
      <c r="G21" s="130" t="s">
        <v>0</v>
      </c>
      <c r="H21" s="130"/>
      <c r="I21" s="130" t="s">
        <v>354</v>
      </c>
      <c r="J21" s="51"/>
      <c r="K21" s="133"/>
      <c r="L21" s="133"/>
      <c r="M21" s="133"/>
      <c r="N21" s="125"/>
      <c r="O21" s="125"/>
      <c r="P21" s="125">
        <v>2784000</v>
      </c>
      <c r="Q21" s="126">
        <f t="shared" si="0"/>
        <v>2784000</v>
      </c>
      <c r="R21" s="41" t="s">
        <v>0</v>
      </c>
    </row>
    <row r="22" spans="1:18" ht="14.25">
      <c r="A22" s="49" t="s">
        <v>68</v>
      </c>
      <c r="B22" s="50" t="s">
        <v>393</v>
      </c>
      <c r="C22" s="50" t="s">
        <v>58</v>
      </c>
      <c r="D22" s="50" t="s">
        <v>0</v>
      </c>
      <c r="E22" s="50" t="s">
        <v>0</v>
      </c>
      <c r="F22" s="130" t="s">
        <v>0</v>
      </c>
      <c r="G22" s="130" t="s">
        <v>0</v>
      </c>
      <c r="H22" s="130"/>
      <c r="I22" s="130" t="s">
        <v>354</v>
      </c>
      <c r="J22" s="51"/>
      <c r="K22" s="133"/>
      <c r="L22" s="133"/>
      <c r="M22" s="133"/>
      <c r="N22" s="125"/>
      <c r="O22" s="125"/>
      <c r="P22" s="125">
        <v>3420000</v>
      </c>
      <c r="Q22" s="126">
        <f t="shared" si="0"/>
        <v>3420000</v>
      </c>
      <c r="R22" s="41" t="s">
        <v>0</v>
      </c>
    </row>
    <row r="23" spans="1:18" ht="14.25">
      <c r="A23" s="49" t="s">
        <v>72</v>
      </c>
      <c r="B23" s="50" t="s">
        <v>392</v>
      </c>
      <c r="C23" s="50" t="s">
        <v>136</v>
      </c>
      <c r="D23" s="50" t="s">
        <v>0</v>
      </c>
      <c r="E23" s="50" t="s">
        <v>0</v>
      </c>
      <c r="F23" s="130" t="s">
        <v>0</v>
      </c>
      <c r="G23" s="130" t="s">
        <v>0</v>
      </c>
      <c r="H23" s="130"/>
      <c r="I23" s="130" t="s">
        <v>354</v>
      </c>
      <c r="J23" s="51"/>
      <c r="K23" s="133"/>
      <c r="L23" s="133"/>
      <c r="M23" s="133"/>
      <c r="N23" s="125"/>
      <c r="O23" s="125"/>
      <c r="P23" s="125">
        <v>400</v>
      </c>
      <c r="Q23" s="126">
        <f t="shared" si="0"/>
        <v>400</v>
      </c>
      <c r="R23" s="41" t="s">
        <v>0</v>
      </c>
    </row>
    <row r="24" spans="1:18" ht="14.25">
      <c r="A24" s="49" t="s">
        <v>81</v>
      </c>
      <c r="B24" s="50" t="s">
        <v>391</v>
      </c>
      <c r="C24" s="50" t="s">
        <v>103</v>
      </c>
      <c r="D24" s="50" t="s">
        <v>0</v>
      </c>
      <c r="E24" s="50" t="s">
        <v>0</v>
      </c>
      <c r="F24" s="130" t="s">
        <v>0</v>
      </c>
      <c r="G24" s="130" t="s">
        <v>0</v>
      </c>
      <c r="H24" s="130"/>
      <c r="I24" s="130" t="s">
        <v>354</v>
      </c>
      <c r="J24" s="51"/>
      <c r="K24" s="133"/>
      <c r="L24" s="133"/>
      <c r="M24" s="133"/>
      <c r="N24" s="125"/>
      <c r="O24" s="125"/>
      <c r="P24" s="125">
        <v>43185</v>
      </c>
      <c r="Q24" s="126">
        <f t="shared" si="0"/>
        <v>43185</v>
      </c>
      <c r="R24" s="41" t="s">
        <v>0</v>
      </c>
    </row>
    <row r="25" spans="1:18" ht="14.25">
      <c r="A25" s="49" t="s">
        <v>85</v>
      </c>
      <c r="B25" s="50" t="s">
        <v>390</v>
      </c>
      <c r="C25" s="50" t="s">
        <v>103</v>
      </c>
      <c r="D25" s="50" t="s">
        <v>0</v>
      </c>
      <c r="E25" s="50" t="s">
        <v>0</v>
      </c>
      <c r="F25" s="130" t="s">
        <v>0</v>
      </c>
      <c r="G25" s="130" t="s">
        <v>0</v>
      </c>
      <c r="H25" s="130"/>
      <c r="I25" s="130" t="s">
        <v>354</v>
      </c>
      <c r="J25" s="51"/>
      <c r="K25" s="133"/>
      <c r="L25" s="133"/>
      <c r="M25" s="133"/>
      <c r="N25" s="125"/>
      <c r="O25" s="125"/>
      <c r="P25" s="125">
        <v>30871</v>
      </c>
      <c r="Q25" s="126">
        <f t="shared" si="0"/>
        <v>30871</v>
      </c>
      <c r="R25" s="41" t="s">
        <v>0</v>
      </c>
    </row>
    <row r="26" spans="1:18" ht="14.25">
      <c r="A26" s="49" t="s">
        <v>90</v>
      </c>
      <c r="B26" s="50" t="s">
        <v>389</v>
      </c>
      <c r="C26" s="50" t="s">
        <v>77</v>
      </c>
      <c r="D26" s="50" t="s">
        <v>0</v>
      </c>
      <c r="E26" s="50" t="s">
        <v>0</v>
      </c>
      <c r="F26" s="130" t="s">
        <v>0</v>
      </c>
      <c r="G26" s="130" t="s">
        <v>0</v>
      </c>
      <c r="H26" s="130"/>
      <c r="I26" s="130" t="s">
        <v>354</v>
      </c>
      <c r="J26" s="51"/>
      <c r="K26" s="133"/>
      <c r="L26" s="133"/>
      <c r="M26" s="133"/>
      <c r="N26" s="125"/>
      <c r="O26" s="125"/>
      <c r="P26" s="125">
        <v>147491</v>
      </c>
      <c r="Q26" s="126">
        <f t="shared" si="0"/>
        <v>147491</v>
      </c>
      <c r="R26" s="41" t="s">
        <v>0</v>
      </c>
    </row>
    <row r="27" spans="1:18" ht="14.25">
      <c r="A27" s="49" t="s">
        <v>97</v>
      </c>
      <c r="B27" s="50" t="s">
        <v>388</v>
      </c>
      <c r="C27" s="50" t="s">
        <v>21</v>
      </c>
      <c r="D27" s="50" t="s">
        <v>0</v>
      </c>
      <c r="E27" s="50" t="s">
        <v>0</v>
      </c>
      <c r="F27" s="130" t="s">
        <v>0</v>
      </c>
      <c r="G27" s="130" t="s">
        <v>0</v>
      </c>
      <c r="H27" s="130"/>
      <c r="I27" s="130" t="s">
        <v>354</v>
      </c>
      <c r="J27" s="51"/>
      <c r="K27" s="133"/>
      <c r="L27" s="133"/>
      <c r="M27" s="133"/>
      <c r="N27" s="125"/>
      <c r="O27" s="125"/>
      <c r="P27" s="125">
        <v>4090909.09</v>
      </c>
      <c r="Q27" s="126">
        <f t="shared" si="0"/>
        <v>4090909.09</v>
      </c>
      <c r="R27" s="41" t="s">
        <v>0</v>
      </c>
    </row>
    <row r="28" spans="1:18" ht="14.25">
      <c r="A28" s="49" t="s">
        <v>106</v>
      </c>
      <c r="B28" s="50" t="s">
        <v>387</v>
      </c>
      <c r="C28" s="50" t="s">
        <v>21</v>
      </c>
      <c r="D28" s="50" t="s">
        <v>0</v>
      </c>
      <c r="E28" s="50" t="s">
        <v>0</v>
      </c>
      <c r="F28" s="130" t="s">
        <v>0</v>
      </c>
      <c r="G28" s="130" t="s">
        <v>0</v>
      </c>
      <c r="H28" s="130"/>
      <c r="I28" s="130" t="s">
        <v>354</v>
      </c>
      <c r="J28" s="51"/>
      <c r="K28" s="133"/>
      <c r="L28" s="133"/>
      <c r="M28" s="133"/>
      <c r="N28" s="125"/>
      <c r="O28" s="125"/>
      <c r="P28" s="125">
        <v>4090909.09</v>
      </c>
      <c r="Q28" s="126">
        <f t="shared" si="0"/>
        <v>4090909.09</v>
      </c>
      <c r="R28" s="41" t="s">
        <v>0</v>
      </c>
    </row>
    <row r="29" spans="1:18" ht="14.25">
      <c r="A29" s="49" t="s">
        <v>110</v>
      </c>
      <c r="B29" s="50" t="s">
        <v>386</v>
      </c>
      <c r="C29" s="50" t="s">
        <v>21</v>
      </c>
      <c r="D29" s="50" t="s">
        <v>0</v>
      </c>
      <c r="E29" s="50" t="s">
        <v>0</v>
      </c>
      <c r="F29" s="130" t="s">
        <v>0</v>
      </c>
      <c r="G29" s="130" t="s">
        <v>0</v>
      </c>
      <c r="H29" s="130"/>
      <c r="I29" s="130" t="s">
        <v>354</v>
      </c>
      <c r="J29" s="51"/>
      <c r="K29" s="133"/>
      <c r="L29" s="133"/>
      <c r="M29" s="133"/>
      <c r="N29" s="125"/>
      <c r="O29" s="125"/>
      <c r="P29" s="125">
        <v>4090909.09</v>
      </c>
      <c r="Q29" s="126">
        <f t="shared" si="0"/>
        <v>4090909.09</v>
      </c>
      <c r="R29" s="41" t="s">
        <v>0</v>
      </c>
    </row>
    <row r="30" spans="1:18" ht="14.25">
      <c r="A30" s="49" t="s">
        <v>116</v>
      </c>
      <c r="B30" s="50" t="s">
        <v>385</v>
      </c>
      <c r="C30" s="50" t="s">
        <v>123</v>
      </c>
      <c r="D30" s="50" t="s">
        <v>0</v>
      </c>
      <c r="E30" s="50" t="s">
        <v>0</v>
      </c>
      <c r="F30" s="130" t="s">
        <v>0</v>
      </c>
      <c r="G30" s="130" t="s">
        <v>0</v>
      </c>
      <c r="H30" s="130"/>
      <c r="I30" s="130" t="s">
        <v>354</v>
      </c>
      <c r="J30" s="51"/>
      <c r="K30" s="133"/>
      <c r="L30" s="133"/>
      <c r="M30" s="133"/>
      <c r="N30" s="125"/>
      <c r="O30" s="125"/>
      <c r="P30" s="125">
        <v>2200</v>
      </c>
      <c r="Q30" s="126">
        <f t="shared" si="0"/>
        <v>2200</v>
      </c>
      <c r="R30" s="41" t="s">
        <v>0</v>
      </c>
    </row>
    <row r="31" spans="1:18" ht="14.25">
      <c r="A31" s="49" t="s">
        <v>120</v>
      </c>
      <c r="B31" s="50" t="s">
        <v>384</v>
      </c>
      <c r="C31" s="50" t="s">
        <v>126</v>
      </c>
      <c r="D31" s="50" t="s">
        <v>0</v>
      </c>
      <c r="E31" s="50" t="s">
        <v>0</v>
      </c>
      <c r="F31" s="130" t="s">
        <v>0</v>
      </c>
      <c r="G31" s="130" t="s">
        <v>0</v>
      </c>
      <c r="H31" s="130"/>
      <c r="I31" s="130" t="s">
        <v>354</v>
      </c>
      <c r="J31" s="51"/>
      <c r="K31" s="133"/>
      <c r="L31" s="133"/>
      <c r="M31" s="133"/>
      <c r="N31" s="125"/>
      <c r="O31" s="125"/>
      <c r="P31" s="125">
        <v>45570</v>
      </c>
      <c r="Q31" s="126">
        <f t="shared" si="0"/>
        <v>45570</v>
      </c>
      <c r="R31" s="41" t="s">
        <v>0</v>
      </c>
    </row>
    <row r="32" spans="1:18" ht="14.25">
      <c r="A32" s="49" t="s">
        <v>128</v>
      </c>
      <c r="B32" s="50" t="s">
        <v>383</v>
      </c>
      <c r="C32" s="50" t="s">
        <v>126</v>
      </c>
      <c r="D32" s="50" t="s">
        <v>0</v>
      </c>
      <c r="E32" s="50" t="s">
        <v>0</v>
      </c>
      <c r="F32" s="130" t="s">
        <v>0</v>
      </c>
      <c r="G32" s="130" t="s">
        <v>0</v>
      </c>
      <c r="H32" s="130"/>
      <c r="I32" s="130" t="s">
        <v>354</v>
      </c>
      <c r="J32" s="51"/>
      <c r="K32" s="133"/>
      <c r="L32" s="133"/>
      <c r="M32" s="133"/>
      <c r="N32" s="125"/>
      <c r="O32" s="125"/>
      <c r="P32" s="125">
        <v>54300</v>
      </c>
      <c r="Q32" s="126">
        <f t="shared" si="0"/>
        <v>54300</v>
      </c>
      <c r="R32" s="41" t="s">
        <v>0</v>
      </c>
    </row>
    <row r="33" spans="1:18" ht="14.25">
      <c r="A33" s="49" t="s">
        <v>138</v>
      </c>
      <c r="B33" s="50" t="s">
        <v>382</v>
      </c>
      <c r="C33" s="50" t="s">
        <v>126</v>
      </c>
      <c r="D33" s="50" t="s">
        <v>0</v>
      </c>
      <c r="E33" s="50" t="s">
        <v>0</v>
      </c>
      <c r="F33" s="130" t="s">
        <v>0</v>
      </c>
      <c r="G33" s="130" t="s">
        <v>0</v>
      </c>
      <c r="H33" s="130"/>
      <c r="I33" s="130" t="s">
        <v>354</v>
      </c>
      <c r="J33" s="51"/>
      <c r="K33" s="133"/>
      <c r="L33" s="133"/>
      <c r="M33" s="133"/>
      <c r="N33" s="125"/>
      <c r="O33" s="125"/>
      <c r="P33" s="125">
        <v>21400</v>
      </c>
      <c r="Q33" s="126">
        <f t="shared" si="0"/>
        <v>21400</v>
      </c>
      <c r="R33" s="41" t="s">
        <v>0</v>
      </c>
    </row>
    <row r="34" spans="1:18" ht="14.25">
      <c r="A34" s="49" t="s">
        <v>143</v>
      </c>
      <c r="B34" s="50" t="s">
        <v>381</v>
      </c>
      <c r="C34" s="50" t="s">
        <v>21</v>
      </c>
      <c r="D34" s="50" t="s">
        <v>0</v>
      </c>
      <c r="E34" s="50" t="s">
        <v>0</v>
      </c>
      <c r="F34" s="130" t="s">
        <v>14</v>
      </c>
      <c r="G34" s="130" t="s">
        <v>0</v>
      </c>
      <c r="H34" s="130"/>
      <c r="I34" s="130" t="s">
        <v>354</v>
      </c>
      <c r="J34" s="51"/>
      <c r="K34" s="133"/>
      <c r="L34" s="133"/>
      <c r="M34" s="133"/>
      <c r="N34" s="125"/>
      <c r="O34" s="125"/>
      <c r="P34" s="125">
        <v>9545.45</v>
      </c>
      <c r="Q34" s="126">
        <f t="shared" si="0"/>
        <v>9545.45</v>
      </c>
      <c r="R34" s="41" t="s">
        <v>0</v>
      </c>
    </row>
    <row r="35" spans="1:18" ht="14.25">
      <c r="A35" s="49" t="s">
        <v>147</v>
      </c>
      <c r="B35" s="50" t="s">
        <v>380</v>
      </c>
      <c r="C35" s="50" t="s">
        <v>126</v>
      </c>
      <c r="D35" s="50" t="s">
        <v>0</v>
      </c>
      <c r="E35" s="50" t="s">
        <v>0</v>
      </c>
      <c r="F35" s="130" t="s">
        <v>0</v>
      </c>
      <c r="G35" s="130" t="s">
        <v>0</v>
      </c>
      <c r="H35" s="130"/>
      <c r="I35" s="130" t="s">
        <v>354</v>
      </c>
      <c r="J35" s="51"/>
      <c r="K35" s="133"/>
      <c r="L35" s="133"/>
      <c r="M35" s="133"/>
      <c r="N35" s="125"/>
      <c r="O35" s="125"/>
      <c r="P35" s="125">
        <v>2400</v>
      </c>
      <c r="Q35" s="126">
        <f t="shared" si="0"/>
        <v>2400</v>
      </c>
      <c r="R35" s="41" t="s">
        <v>0</v>
      </c>
    </row>
    <row r="36" spans="1:18" ht="14.25">
      <c r="A36" s="49" t="s">
        <v>150</v>
      </c>
      <c r="B36" s="50" t="s">
        <v>379</v>
      </c>
      <c r="C36" s="50" t="s">
        <v>126</v>
      </c>
      <c r="D36" s="50" t="s">
        <v>0</v>
      </c>
      <c r="E36" s="50" t="s">
        <v>0</v>
      </c>
      <c r="F36" s="130" t="s">
        <v>0</v>
      </c>
      <c r="G36" s="130" t="s">
        <v>0</v>
      </c>
      <c r="H36" s="130"/>
      <c r="I36" s="130" t="s">
        <v>354</v>
      </c>
      <c r="J36" s="51"/>
      <c r="K36" s="133"/>
      <c r="L36" s="133"/>
      <c r="M36" s="133"/>
      <c r="N36" s="125"/>
      <c r="O36" s="125"/>
      <c r="P36" s="125">
        <v>2400</v>
      </c>
      <c r="Q36" s="126">
        <f t="shared" si="0"/>
        <v>2400</v>
      </c>
      <c r="R36" s="41" t="s">
        <v>0</v>
      </c>
    </row>
    <row r="37" spans="1:18" ht="14.25">
      <c r="A37" s="49" t="s">
        <v>153</v>
      </c>
      <c r="B37" s="50" t="s">
        <v>378</v>
      </c>
      <c r="C37" s="50" t="s">
        <v>79</v>
      </c>
      <c r="D37" s="50" t="s">
        <v>0</v>
      </c>
      <c r="E37" s="50" t="s">
        <v>0</v>
      </c>
      <c r="F37" s="130" t="s">
        <v>0</v>
      </c>
      <c r="G37" s="130" t="s">
        <v>0</v>
      </c>
      <c r="H37" s="130"/>
      <c r="I37" s="130" t="s">
        <v>354</v>
      </c>
      <c r="J37" s="51"/>
      <c r="K37" s="133"/>
      <c r="L37" s="133"/>
      <c r="M37" s="133"/>
      <c r="N37" s="125"/>
      <c r="O37" s="125"/>
      <c r="P37" s="125">
        <v>757452</v>
      </c>
      <c r="Q37" s="126">
        <f t="shared" si="0"/>
        <v>757452</v>
      </c>
      <c r="R37" s="41" t="s">
        <v>0</v>
      </c>
    </row>
    <row r="38" spans="1:18" ht="14.25">
      <c r="A38" s="49" t="s">
        <v>156</v>
      </c>
      <c r="B38" s="50" t="s">
        <v>377</v>
      </c>
      <c r="C38" s="50" t="s">
        <v>209</v>
      </c>
      <c r="D38" s="50" t="s">
        <v>0</v>
      </c>
      <c r="E38" s="50" t="s">
        <v>0</v>
      </c>
      <c r="F38" s="130" t="s">
        <v>0</v>
      </c>
      <c r="G38" s="130" t="s">
        <v>0</v>
      </c>
      <c r="H38" s="130"/>
      <c r="I38" s="130" t="s">
        <v>354</v>
      </c>
      <c r="J38" s="51"/>
      <c r="K38" s="133"/>
      <c r="L38" s="133"/>
      <c r="M38" s="133"/>
      <c r="N38" s="125"/>
      <c r="O38" s="125"/>
      <c r="P38" s="125">
        <v>41664</v>
      </c>
      <c r="Q38" s="126">
        <f t="shared" si="0"/>
        <v>41664</v>
      </c>
      <c r="R38" s="41" t="s">
        <v>0</v>
      </c>
    </row>
    <row r="39" spans="1:18" ht="14.25">
      <c r="A39" s="49" t="s">
        <v>159</v>
      </c>
      <c r="B39" s="50" t="s">
        <v>376</v>
      </c>
      <c r="C39" s="50" t="s">
        <v>77</v>
      </c>
      <c r="D39" s="50" t="s">
        <v>0</v>
      </c>
      <c r="E39" s="50" t="s">
        <v>0</v>
      </c>
      <c r="F39" s="130" t="s">
        <v>0</v>
      </c>
      <c r="G39" s="130" t="s">
        <v>0</v>
      </c>
      <c r="H39" s="130"/>
      <c r="I39" s="130" t="s">
        <v>354</v>
      </c>
      <c r="J39" s="51"/>
      <c r="K39" s="133"/>
      <c r="L39" s="133"/>
      <c r="M39" s="133"/>
      <c r="N39" s="125"/>
      <c r="O39" s="125"/>
      <c r="P39" s="125">
        <v>569964</v>
      </c>
      <c r="Q39" s="126">
        <f t="shared" si="0"/>
        <v>569964</v>
      </c>
      <c r="R39" s="41" t="s">
        <v>0</v>
      </c>
    </row>
    <row r="40" spans="1:18" ht="14.25">
      <c r="A40" s="49" t="s">
        <v>162</v>
      </c>
      <c r="B40" s="50" t="s">
        <v>375</v>
      </c>
      <c r="C40" s="50" t="s">
        <v>77</v>
      </c>
      <c r="D40" s="50" t="s">
        <v>0</v>
      </c>
      <c r="E40" s="50" t="s">
        <v>0</v>
      </c>
      <c r="F40" s="130" t="s">
        <v>0</v>
      </c>
      <c r="G40" s="130" t="s">
        <v>0</v>
      </c>
      <c r="H40" s="130"/>
      <c r="I40" s="130" t="s">
        <v>354</v>
      </c>
      <c r="J40" s="51"/>
      <c r="K40" s="133"/>
      <c r="L40" s="133"/>
      <c r="M40" s="133"/>
      <c r="N40" s="125"/>
      <c r="O40" s="125"/>
      <c r="P40" s="125">
        <v>17029950</v>
      </c>
      <c r="Q40" s="126">
        <f t="shared" si="0"/>
        <v>17029950</v>
      </c>
      <c r="R40" s="41" t="s">
        <v>0</v>
      </c>
    </row>
    <row r="41" spans="1:18" ht="14.25">
      <c r="A41" s="49" t="s">
        <v>166</v>
      </c>
      <c r="B41" s="50" t="s">
        <v>374</v>
      </c>
      <c r="C41" s="50" t="s">
        <v>209</v>
      </c>
      <c r="D41" s="50" t="s">
        <v>0</v>
      </c>
      <c r="E41" s="50" t="s">
        <v>0</v>
      </c>
      <c r="F41" s="130" t="s">
        <v>0</v>
      </c>
      <c r="G41" s="130" t="s">
        <v>0</v>
      </c>
      <c r="H41" s="130"/>
      <c r="I41" s="130" t="s">
        <v>354</v>
      </c>
      <c r="J41" s="51"/>
      <c r="K41" s="133"/>
      <c r="L41" s="133"/>
      <c r="M41" s="133"/>
      <c r="N41" s="125">
        <f>SUM(N42:N42)</f>
        <v>24041.5</v>
      </c>
      <c r="O41" s="125"/>
      <c r="P41" s="125">
        <v>1613636</v>
      </c>
      <c r="Q41" s="126">
        <f t="shared" si="0"/>
        <v>1637677.5</v>
      </c>
      <c r="R41" s="41" t="s">
        <v>0</v>
      </c>
    </row>
    <row r="42" spans="1:18" ht="14.25">
      <c r="A42" s="49" t="s">
        <v>0</v>
      </c>
      <c r="B42" s="50" t="s">
        <v>372</v>
      </c>
      <c r="C42" s="50" t="s">
        <v>0</v>
      </c>
      <c r="D42" s="50" t="s">
        <v>0</v>
      </c>
      <c r="E42" s="50" t="s">
        <v>0</v>
      </c>
      <c r="F42" s="130" t="s">
        <v>0</v>
      </c>
      <c r="G42" s="130" t="s">
        <v>0</v>
      </c>
      <c r="H42" s="130"/>
      <c r="I42" s="130" t="s">
        <v>0</v>
      </c>
      <c r="J42" s="51">
        <f>('Phan tich don gia'!G305)</f>
        <v>24041.512</v>
      </c>
      <c r="K42" s="133"/>
      <c r="L42" s="133"/>
      <c r="M42" s="133"/>
      <c r="N42" s="51">
        <f>ROUND(J42,1)</f>
        <v>24041.5</v>
      </c>
      <c r="O42" s="51"/>
      <c r="P42" s="51"/>
      <c r="Q42" s="124">
        <v>0</v>
      </c>
      <c r="R42" s="41" t="s">
        <v>0</v>
      </c>
    </row>
    <row r="43" spans="1:18" ht="14.25">
      <c r="A43" s="49" t="s">
        <v>171</v>
      </c>
      <c r="B43" s="50" t="s">
        <v>373</v>
      </c>
      <c r="C43" s="50" t="s">
        <v>209</v>
      </c>
      <c r="D43" s="50" t="s">
        <v>0</v>
      </c>
      <c r="E43" s="50" t="s">
        <v>0</v>
      </c>
      <c r="F43" s="130" t="s">
        <v>0</v>
      </c>
      <c r="G43" s="130" t="s">
        <v>0</v>
      </c>
      <c r="H43" s="130"/>
      <c r="I43" s="130" t="s">
        <v>354</v>
      </c>
      <c r="J43" s="51"/>
      <c r="K43" s="133"/>
      <c r="L43" s="133"/>
      <c r="M43" s="133"/>
      <c r="N43" s="125">
        <f>SUM(N44:N44)</f>
        <v>24041.5</v>
      </c>
      <c r="O43" s="125"/>
      <c r="P43" s="125">
        <v>1677273</v>
      </c>
      <c r="Q43" s="126">
        <f>N43+O43+P43</f>
        <v>1701314.5</v>
      </c>
      <c r="R43" s="41" t="s">
        <v>0</v>
      </c>
    </row>
    <row r="44" spans="1:18" ht="14.25">
      <c r="A44" s="49" t="s">
        <v>0</v>
      </c>
      <c r="B44" s="50" t="s">
        <v>372</v>
      </c>
      <c r="C44" s="50" t="s">
        <v>0</v>
      </c>
      <c r="D44" s="50" t="s">
        <v>0</v>
      </c>
      <c r="E44" s="50" t="s">
        <v>0</v>
      </c>
      <c r="F44" s="130" t="s">
        <v>0</v>
      </c>
      <c r="G44" s="130" t="s">
        <v>0</v>
      </c>
      <c r="H44" s="130"/>
      <c r="I44" s="130" t="s">
        <v>0</v>
      </c>
      <c r="J44" s="51">
        <f>('Phan tich don gia'!G305)</f>
        <v>24041.512</v>
      </c>
      <c r="K44" s="133"/>
      <c r="L44" s="133"/>
      <c r="M44" s="133"/>
      <c r="N44" s="51">
        <f>ROUND(J44,1)</f>
        <v>24041.5</v>
      </c>
      <c r="O44" s="51"/>
      <c r="P44" s="51"/>
      <c r="Q44" s="124">
        <v>0</v>
      </c>
      <c r="R44" s="41" t="s">
        <v>0</v>
      </c>
    </row>
    <row r="45" spans="1:18" ht="14.25">
      <c r="A45" s="49" t="s">
        <v>177</v>
      </c>
      <c r="B45" s="50" t="s">
        <v>371</v>
      </c>
      <c r="C45" s="50" t="s">
        <v>77</v>
      </c>
      <c r="D45" s="50" t="s">
        <v>0</v>
      </c>
      <c r="E45" s="50" t="s">
        <v>0</v>
      </c>
      <c r="F45" s="130" t="s">
        <v>0</v>
      </c>
      <c r="G45" s="130" t="s">
        <v>0</v>
      </c>
      <c r="H45" s="130"/>
      <c r="I45" s="130" t="s">
        <v>354</v>
      </c>
      <c r="J45" s="51"/>
      <c r="K45" s="133"/>
      <c r="L45" s="133"/>
      <c r="M45" s="133"/>
      <c r="N45" s="125"/>
      <c r="O45" s="125"/>
      <c r="P45" s="125">
        <v>1070765</v>
      </c>
      <c r="Q45" s="126">
        <f>N45+O45+P45</f>
        <v>1070765</v>
      </c>
      <c r="R45" s="41" t="s">
        <v>0</v>
      </c>
    </row>
    <row r="46" spans="1:18" ht="14.25">
      <c r="A46" s="49" t="s">
        <v>180</v>
      </c>
      <c r="B46" s="50" t="s">
        <v>370</v>
      </c>
      <c r="C46" s="50" t="s">
        <v>103</v>
      </c>
      <c r="D46" s="50" t="s">
        <v>0</v>
      </c>
      <c r="E46" s="50" t="s">
        <v>0</v>
      </c>
      <c r="F46" s="130" t="s">
        <v>0</v>
      </c>
      <c r="G46" s="130" t="s">
        <v>0</v>
      </c>
      <c r="H46" s="130"/>
      <c r="I46" s="130" t="s">
        <v>354</v>
      </c>
      <c r="J46" s="51"/>
      <c r="K46" s="133"/>
      <c r="L46" s="133"/>
      <c r="M46" s="133"/>
      <c r="N46" s="125"/>
      <c r="O46" s="125"/>
      <c r="P46" s="125">
        <v>7800</v>
      </c>
      <c r="Q46" s="126">
        <f>N46+O46+P46</f>
        <v>7800</v>
      </c>
      <c r="R46" s="41" t="s">
        <v>0</v>
      </c>
    </row>
    <row r="47" spans="1:18" ht="14.25">
      <c r="A47" s="49" t="s">
        <v>183</v>
      </c>
      <c r="B47" s="50" t="s">
        <v>369</v>
      </c>
      <c r="C47" s="50" t="s">
        <v>209</v>
      </c>
      <c r="D47" s="50" t="s">
        <v>0</v>
      </c>
      <c r="E47" s="50" t="s">
        <v>0</v>
      </c>
      <c r="F47" s="130" t="s">
        <v>0</v>
      </c>
      <c r="G47" s="130" t="s">
        <v>0</v>
      </c>
      <c r="H47" s="130"/>
      <c r="I47" s="130" t="s">
        <v>354</v>
      </c>
      <c r="J47" s="51"/>
      <c r="K47" s="133"/>
      <c r="L47" s="133"/>
      <c r="M47" s="133"/>
      <c r="N47" s="125"/>
      <c r="O47" s="125"/>
      <c r="P47" s="125">
        <v>16350000</v>
      </c>
      <c r="Q47" s="126">
        <f>N47+O47+P47</f>
        <v>16350000</v>
      </c>
      <c r="R47" s="41" t="s">
        <v>0</v>
      </c>
    </row>
    <row r="48" spans="1:18" ht="14.25">
      <c r="A48" s="49" t="s">
        <v>186</v>
      </c>
      <c r="B48" s="50" t="s">
        <v>368</v>
      </c>
      <c r="C48" s="50" t="s">
        <v>21</v>
      </c>
      <c r="D48" s="50" t="s">
        <v>0</v>
      </c>
      <c r="E48" s="50" t="s">
        <v>0</v>
      </c>
      <c r="F48" s="130" t="s">
        <v>2</v>
      </c>
      <c r="G48" s="130" t="s">
        <v>0</v>
      </c>
      <c r="H48" s="130"/>
      <c r="I48" s="130" t="s">
        <v>365</v>
      </c>
      <c r="J48" s="51"/>
      <c r="K48" s="133"/>
      <c r="L48" s="133"/>
      <c r="M48" s="133"/>
      <c r="N48" s="125">
        <f>SUM(N49:N53)</f>
        <v>61789.9</v>
      </c>
      <c r="O48" s="125"/>
      <c r="P48" s="125">
        <v>290909</v>
      </c>
      <c r="Q48" s="126">
        <f>N48+O48+P48</f>
        <v>352698.9</v>
      </c>
      <c r="R48" s="41" t="s">
        <v>0</v>
      </c>
    </row>
    <row r="49" spans="1:18" ht="14.25">
      <c r="A49" s="49" t="s">
        <v>0</v>
      </c>
      <c r="B49" s="50" t="s">
        <v>364</v>
      </c>
      <c r="C49" s="50" t="s">
        <v>0</v>
      </c>
      <c r="D49" s="50" t="s">
        <v>363</v>
      </c>
      <c r="E49" s="50" t="s">
        <v>0</v>
      </c>
      <c r="F49" s="130" t="s">
        <v>0</v>
      </c>
      <c r="G49" s="130" t="s">
        <v>27</v>
      </c>
      <c r="H49" s="130">
        <v>1</v>
      </c>
      <c r="I49" s="130" t="s">
        <v>0</v>
      </c>
      <c r="J49" s="51">
        <f>('Phan tich don gia'!G260)/10</f>
        <v>5910.07992</v>
      </c>
      <c r="K49" s="133">
        <v>1.35</v>
      </c>
      <c r="L49" s="133"/>
      <c r="M49" s="133"/>
      <c r="N49" s="51">
        <f>ROUND(J49*K49*H49,1)</f>
        <v>7978.6</v>
      </c>
      <c r="O49" s="51"/>
      <c r="P49" s="51"/>
      <c r="Q49" s="124">
        <v>0</v>
      </c>
      <c r="R49" s="41" t="s">
        <v>0</v>
      </c>
    </row>
    <row r="50" spans="1:18" ht="14.25">
      <c r="A50" s="49" t="s">
        <v>0</v>
      </c>
      <c r="B50" s="50" t="s">
        <v>362</v>
      </c>
      <c r="C50" s="50" t="s">
        <v>0</v>
      </c>
      <c r="D50" s="50" t="s">
        <v>0</v>
      </c>
      <c r="E50" s="50" t="s">
        <v>0</v>
      </c>
      <c r="F50" s="130" t="s">
        <v>0</v>
      </c>
      <c r="G50" s="130" t="s">
        <v>27</v>
      </c>
      <c r="H50" s="130">
        <v>7</v>
      </c>
      <c r="I50" s="130" t="s">
        <v>0</v>
      </c>
      <c r="J50" s="51">
        <f>('Phan tich don gia'!G265)/10</f>
        <v>4345.647</v>
      </c>
      <c r="K50" s="133">
        <v>1.35</v>
      </c>
      <c r="L50" s="133"/>
      <c r="M50" s="133"/>
      <c r="N50" s="51">
        <f>ROUND(J50*K50*H50,1)</f>
        <v>41066.4</v>
      </c>
      <c r="O50" s="51"/>
      <c r="P50" s="51"/>
      <c r="Q50" s="124">
        <v>0</v>
      </c>
      <c r="R50" s="41" t="s">
        <v>0</v>
      </c>
    </row>
    <row r="51" spans="1:18" ht="14.25">
      <c r="A51" s="49" t="s">
        <v>0</v>
      </c>
      <c r="B51" s="50" t="s">
        <v>362</v>
      </c>
      <c r="C51" s="50" t="s">
        <v>0</v>
      </c>
      <c r="D51" s="50" t="s">
        <v>0</v>
      </c>
      <c r="E51" s="50" t="s">
        <v>0</v>
      </c>
      <c r="F51" s="130" t="s">
        <v>0</v>
      </c>
      <c r="G51" s="130" t="s">
        <v>2</v>
      </c>
      <c r="H51" s="130">
        <v>2</v>
      </c>
      <c r="I51" s="130" t="s">
        <v>0</v>
      </c>
      <c r="J51" s="51">
        <f>('Phan tich don gia'!G265)/10</f>
        <v>4345.647</v>
      </c>
      <c r="K51" s="133">
        <v>0.57</v>
      </c>
      <c r="L51" s="133"/>
      <c r="M51" s="133"/>
      <c r="N51" s="51">
        <f>ROUND(J51*K51*H51,1)</f>
        <v>4954</v>
      </c>
      <c r="O51" s="51"/>
      <c r="P51" s="51"/>
      <c r="Q51" s="124">
        <v>0</v>
      </c>
      <c r="R51" s="41" t="s">
        <v>0</v>
      </c>
    </row>
    <row r="52" spans="1:18" ht="14.25">
      <c r="A52" s="49" t="s">
        <v>0</v>
      </c>
      <c r="B52" s="50" t="s">
        <v>361</v>
      </c>
      <c r="C52" s="50" t="s">
        <v>0</v>
      </c>
      <c r="D52" s="50" t="s">
        <v>0</v>
      </c>
      <c r="E52" s="50" t="s">
        <v>0</v>
      </c>
      <c r="F52" s="130" t="s">
        <v>0</v>
      </c>
      <c r="G52" s="130" t="s">
        <v>2</v>
      </c>
      <c r="H52" s="130">
        <v>2</v>
      </c>
      <c r="I52" s="130" t="s">
        <v>0</v>
      </c>
      <c r="J52" s="51">
        <f>('Phan tich don gia'!G270)/10</f>
        <v>3128.86584</v>
      </c>
      <c r="K52" s="133">
        <v>0.57</v>
      </c>
      <c r="L52" s="133"/>
      <c r="M52" s="133"/>
      <c r="N52" s="51">
        <f>ROUND(J52*K52*H52,1)</f>
        <v>3566.9</v>
      </c>
      <c r="O52" s="51"/>
      <c r="P52" s="51"/>
      <c r="Q52" s="124">
        <v>0</v>
      </c>
      <c r="R52" s="41" t="s">
        <v>0</v>
      </c>
    </row>
    <row r="53" spans="1:18" ht="14.25">
      <c r="A53" s="49" t="s">
        <v>0</v>
      </c>
      <c r="B53" s="50" t="s">
        <v>361</v>
      </c>
      <c r="C53" s="50" t="s">
        <v>0</v>
      </c>
      <c r="D53" s="50" t="s">
        <v>0</v>
      </c>
      <c r="E53" s="50" t="s">
        <v>360</v>
      </c>
      <c r="F53" s="130" t="s">
        <v>0</v>
      </c>
      <c r="G53" s="130" t="s">
        <v>27</v>
      </c>
      <c r="H53" s="130">
        <v>1</v>
      </c>
      <c r="I53" s="130" t="s">
        <v>0</v>
      </c>
      <c r="J53" s="51">
        <f>('Phan tich don gia'!G270)/10</f>
        <v>3128.86584</v>
      </c>
      <c r="K53" s="133">
        <v>1.35</v>
      </c>
      <c r="L53" s="133"/>
      <c r="M53" s="133"/>
      <c r="N53" s="51">
        <f>ROUND(J53*K53*H53,1)</f>
        <v>4224</v>
      </c>
      <c r="O53" s="51"/>
      <c r="P53" s="51"/>
      <c r="Q53" s="124">
        <v>0</v>
      </c>
      <c r="R53" s="41" t="s">
        <v>0</v>
      </c>
    </row>
    <row r="54" spans="1:18" ht="14.25">
      <c r="A54" s="49" t="s">
        <v>188</v>
      </c>
      <c r="B54" s="50" t="s">
        <v>367</v>
      </c>
      <c r="C54" s="50" t="s">
        <v>21</v>
      </c>
      <c r="D54" s="50" t="s">
        <v>0</v>
      </c>
      <c r="E54" s="50" t="s">
        <v>0</v>
      </c>
      <c r="F54" s="130" t="s">
        <v>2</v>
      </c>
      <c r="G54" s="130" t="s">
        <v>0</v>
      </c>
      <c r="H54" s="130"/>
      <c r="I54" s="130" t="s">
        <v>365</v>
      </c>
      <c r="J54" s="51"/>
      <c r="K54" s="133"/>
      <c r="L54" s="133"/>
      <c r="M54" s="133"/>
      <c r="N54" s="125">
        <f>SUM(N55:N59)</f>
        <v>61789.9</v>
      </c>
      <c r="O54" s="125"/>
      <c r="P54" s="125">
        <v>281818</v>
      </c>
      <c r="Q54" s="126">
        <f>N54+O54+P54</f>
        <v>343607.9</v>
      </c>
      <c r="R54" s="41" t="s">
        <v>0</v>
      </c>
    </row>
    <row r="55" spans="1:18" ht="14.25">
      <c r="A55" s="49" t="s">
        <v>0</v>
      </c>
      <c r="B55" s="50" t="s">
        <v>364</v>
      </c>
      <c r="C55" s="50" t="s">
        <v>0</v>
      </c>
      <c r="D55" s="50" t="s">
        <v>363</v>
      </c>
      <c r="E55" s="50" t="s">
        <v>0</v>
      </c>
      <c r="F55" s="130" t="s">
        <v>0</v>
      </c>
      <c r="G55" s="130" t="s">
        <v>27</v>
      </c>
      <c r="H55" s="130">
        <v>1</v>
      </c>
      <c r="I55" s="130" t="s">
        <v>0</v>
      </c>
      <c r="J55" s="51">
        <f>('Phan tich don gia'!G260)/10</f>
        <v>5910.07992</v>
      </c>
      <c r="K55" s="133">
        <v>1.35</v>
      </c>
      <c r="L55" s="133"/>
      <c r="M55" s="133"/>
      <c r="N55" s="51">
        <f>ROUND(J55*K55*H55,1)</f>
        <v>7978.6</v>
      </c>
      <c r="O55" s="51"/>
      <c r="P55" s="51"/>
      <c r="Q55" s="124">
        <v>0</v>
      </c>
      <c r="R55" s="41" t="s">
        <v>0</v>
      </c>
    </row>
    <row r="56" spans="1:18" ht="14.25">
      <c r="A56" s="49" t="s">
        <v>0</v>
      </c>
      <c r="B56" s="50" t="s">
        <v>362</v>
      </c>
      <c r="C56" s="50" t="s">
        <v>0</v>
      </c>
      <c r="D56" s="50" t="s">
        <v>0</v>
      </c>
      <c r="E56" s="50" t="s">
        <v>0</v>
      </c>
      <c r="F56" s="130" t="s">
        <v>0</v>
      </c>
      <c r="G56" s="130" t="s">
        <v>27</v>
      </c>
      <c r="H56" s="130">
        <v>7</v>
      </c>
      <c r="I56" s="130" t="s">
        <v>0</v>
      </c>
      <c r="J56" s="51">
        <f>('Phan tich don gia'!G265)/10</f>
        <v>4345.647</v>
      </c>
      <c r="K56" s="133">
        <v>1.35</v>
      </c>
      <c r="L56" s="133"/>
      <c r="M56" s="133"/>
      <c r="N56" s="51">
        <f>ROUND(J56*K56*H56,1)</f>
        <v>41066.4</v>
      </c>
      <c r="O56" s="51"/>
      <c r="P56" s="51"/>
      <c r="Q56" s="124">
        <v>0</v>
      </c>
      <c r="R56" s="41" t="s">
        <v>0</v>
      </c>
    </row>
    <row r="57" spans="1:18" ht="14.25">
      <c r="A57" s="49" t="s">
        <v>0</v>
      </c>
      <c r="B57" s="50" t="s">
        <v>362</v>
      </c>
      <c r="C57" s="50" t="s">
        <v>0</v>
      </c>
      <c r="D57" s="50" t="s">
        <v>0</v>
      </c>
      <c r="E57" s="50" t="s">
        <v>0</v>
      </c>
      <c r="F57" s="130" t="s">
        <v>0</v>
      </c>
      <c r="G57" s="130" t="s">
        <v>2</v>
      </c>
      <c r="H57" s="130">
        <v>2</v>
      </c>
      <c r="I57" s="130" t="s">
        <v>0</v>
      </c>
      <c r="J57" s="51">
        <f>('Phan tich don gia'!G265)/10</f>
        <v>4345.647</v>
      </c>
      <c r="K57" s="133">
        <v>0.57</v>
      </c>
      <c r="L57" s="133"/>
      <c r="M57" s="133"/>
      <c r="N57" s="51">
        <f>ROUND(J57*K57*H57,1)</f>
        <v>4954</v>
      </c>
      <c r="O57" s="51"/>
      <c r="P57" s="51"/>
      <c r="Q57" s="124">
        <v>0</v>
      </c>
      <c r="R57" s="41" t="s">
        <v>0</v>
      </c>
    </row>
    <row r="58" spans="1:18" ht="14.25">
      <c r="A58" s="49" t="s">
        <v>0</v>
      </c>
      <c r="B58" s="50" t="s">
        <v>361</v>
      </c>
      <c r="C58" s="50" t="s">
        <v>0</v>
      </c>
      <c r="D58" s="50" t="s">
        <v>0</v>
      </c>
      <c r="E58" s="50" t="s">
        <v>0</v>
      </c>
      <c r="F58" s="130" t="s">
        <v>0</v>
      </c>
      <c r="G58" s="130" t="s">
        <v>2</v>
      </c>
      <c r="H58" s="130">
        <v>2</v>
      </c>
      <c r="I58" s="130" t="s">
        <v>0</v>
      </c>
      <c r="J58" s="51">
        <f>('Phan tich don gia'!G270)/10</f>
        <v>3128.86584</v>
      </c>
      <c r="K58" s="133">
        <v>0.57</v>
      </c>
      <c r="L58" s="133"/>
      <c r="M58" s="133"/>
      <c r="N58" s="51">
        <f>ROUND(J58*K58*H58,1)</f>
        <v>3566.9</v>
      </c>
      <c r="O58" s="51"/>
      <c r="P58" s="51"/>
      <c r="Q58" s="124">
        <v>0</v>
      </c>
      <c r="R58" s="41" t="s">
        <v>0</v>
      </c>
    </row>
    <row r="59" spans="1:18" ht="14.25">
      <c r="A59" s="49" t="s">
        <v>0</v>
      </c>
      <c r="B59" s="50" t="s">
        <v>361</v>
      </c>
      <c r="C59" s="50" t="s">
        <v>0</v>
      </c>
      <c r="D59" s="50" t="s">
        <v>0</v>
      </c>
      <c r="E59" s="50" t="s">
        <v>360</v>
      </c>
      <c r="F59" s="130" t="s">
        <v>0</v>
      </c>
      <c r="G59" s="130" t="s">
        <v>27</v>
      </c>
      <c r="H59" s="130">
        <v>1</v>
      </c>
      <c r="I59" s="130" t="s">
        <v>0</v>
      </c>
      <c r="J59" s="51">
        <f>('Phan tich don gia'!G270)/10</f>
        <v>3128.86584</v>
      </c>
      <c r="K59" s="133">
        <v>1.35</v>
      </c>
      <c r="L59" s="133"/>
      <c r="M59" s="133"/>
      <c r="N59" s="51">
        <f>ROUND(J59*K59*H59,1)</f>
        <v>4224</v>
      </c>
      <c r="O59" s="51"/>
      <c r="P59" s="51"/>
      <c r="Q59" s="124">
        <v>0</v>
      </c>
      <c r="R59" s="41" t="s">
        <v>0</v>
      </c>
    </row>
    <row r="60" spans="1:18" ht="14.25">
      <c r="A60" s="49" t="s">
        <v>190</v>
      </c>
      <c r="B60" s="50" t="s">
        <v>366</v>
      </c>
      <c r="C60" s="50" t="s">
        <v>21</v>
      </c>
      <c r="D60" s="50" t="s">
        <v>0</v>
      </c>
      <c r="E60" s="50" t="s">
        <v>0</v>
      </c>
      <c r="F60" s="130" t="s">
        <v>2</v>
      </c>
      <c r="G60" s="130" t="s">
        <v>0</v>
      </c>
      <c r="H60" s="130"/>
      <c r="I60" s="130" t="s">
        <v>365</v>
      </c>
      <c r="J60" s="51"/>
      <c r="K60" s="133"/>
      <c r="L60" s="133"/>
      <c r="M60" s="133"/>
      <c r="N60" s="125">
        <f>SUM(N61:N65)</f>
        <v>61789.9</v>
      </c>
      <c r="O60" s="125"/>
      <c r="P60" s="125">
        <v>227273</v>
      </c>
      <c r="Q60" s="126">
        <f>N60+O60+P60</f>
        <v>289062.9</v>
      </c>
      <c r="R60" s="41" t="s">
        <v>0</v>
      </c>
    </row>
    <row r="61" spans="1:18" ht="14.25">
      <c r="A61" s="49" t="s">
        <v>0</v>
      </c>
      <c r="B61" s="50" t="s">
        <v>364</v>
      </c>
      <c r="C61" s="50" t="s">
        <v>0</v>
      </c>
      <c r="D61" s="50" t="s">
        <v>363</v>
      </c>
      <c r="E61" s="50" t="s">
        <v>0</v>
      </c>
      <c r="F61" s="130" t="s">
        <v>0</v>
      </c>
      <c r="G61" s="130" t="s">
        <v>27</v>
      </c>
      <c r="H61" s="130">
        <v>1</v>
      </c>
      <c r="I61" s="130" t="s">
        <v>0</v>
      </c>
      <c r="J61" s="51">
        <f>('Phan tich don gia'!G260)/10</f>
        <v>5910.07992</v>
      </c>
      <c r="K61" s="133">
        <v>1.35</v>
      </c>
      <c r="L61" s="133"/>
      <c r="M61" s="133"/>
      <c r="N61" s="51">
        <f>ROUND(J61*K61*H61,1)</f>
        <v>7978.6</v>
      </c>
      <c r="O61" s="51"/>
      <c r="P61" s="51"/>
      <c r="Q61" s="124">
        <v>0</v>
      </c>
      <c r="R61" s="41" t="s">
        <v>0</v>
      </c>
    </row>
    <row r="62" spans="1:18" ht="14.25">
      <c r="A62" s="49" t="s">
        <v>0</v>
      </c>
      <c r="B62" s="50" t="s">
        <v>362</v>
      </c>
      <c r="C62" s="50" t="s">
        <v>0</v>
      </c>
      <c r="D62" s="50" t="s">
        <v>0</v>
      </c>
      <c r="E62" s="50" t="s">
        <v>0</v>
      </c>
      <c r="F62" s="130" t="s">
        <v>0</v>
      </c>
      <c r="G62" s="130" t="s">
        <v>27</v>
      </c>
      <c r="H62" s="130">
        <v>7</v>
      </c>
      <c r="I62" s="130" t="s">
        <v>0</v>
      </c>
      <c r="J62" s="51">
        <f>('Phan tich don gia'!G265)/10</f>
        <v>4345.647</v>
      </c>
      <c r="K62" s="133">
        <v>1.35</v>
      </c>
      <c r="L62" s="133"/>
      <c r="M62" s="133"/>
      <c r="N62" s="51">
        <f>ROUND(J62*K62*H62,1)</f>
        <v>41066.4</v>
      </c>
      <c r="O62" s="51"/>
      <c r="P62" s="51"/>
      <c r="Q62" s="124">
        <v>0</v>
      </c>
      <c r="R62" s="41" t="s">
        <v>0</v>
      </c>
    </row>
    <row r="63" spans="1:18" ht="14.25">
      <c r="A63" s="49" t="s">
        <v>0</v>
      </c>
      <c r="B63" s="50" t="s">
        <v>362</v>
      </c>
      <c r="C63" s="50" t="s">
        <v>0</v>
      </c>
      <c r="D63" s="50" t="s">
        <v>0</v>
      </c>
      <c r="E63" s="50" t="s">
        <v>0</v>
      </c>
      <c r="F63" s="130" t="s">
        <v>0</v>
      </c>
      <c r="G63" s="130" t="s">
        <v>2</v>
      </c>
      <c r="H63" s="130">
        <v>2</v>
      </c>
      <c r="I63" s="130" t="s">
        <v>0</v>
      </c>
      <c r="J63" s="51">
        <f>('Phan tich don gia'!G265)/10</f>
        <v>4345.647</v>
      </c>
      <c r="K63" s="133">
        <v>0.57</v>
      </c>
      <c r="L63" s="133"/>
      <c r="M63" s="133"/>
      <c r="N63" s="51">
        <f>ROUND(J63*K63*H63,1)</f>
        <v>4954</v>
      </c>
      <c r="O63" s="51"/>
      <c r="P63" s="51"/>
      <c r="Q63" s="124">
        <v>0</v>
      </c>
      <c r="R63" s="41" t="s">
        <v>0</v>
      </c>
    </row>
    <row r="64" spans="1:18" ht="14.25">
      <c r="A64" s="49" t="s">
        <v>0</v>
      </c>
      <c r="B64" s="50" t="s">
        <v>361</v>
      </c>
      <c r="C64" s="50" t="s">
        <v>0</v>
      </c>
      <c r="D64" s="50" t="s">
        <v>0</v>
      </c>
      <c r="E64" s="50" t="s">
        <v>0</v>
      </c>
      <c r="F64" s="130" t="s">
        <v>0</v>
      </c>
      <c r="G64" s="130" t="s">
        <v>2</v>
      </c>
      <c r="H64" s="130">
        <v>2</v>
      </c>
      <c r="I64" s="130" t="s">
        <v>0</v>
      </c>
      <c r="J64" s="51">
        <f>('Phan tich don gia'!G270)/10</f>
        <v>3128.86584</v>
      </c>
      <c r="K64" s="133">
        <v>0.57</v>
      </c>
      <c r="L64" s="133"/>
      <c r="M64" s="133"/>
      <c r="N64" s="51">
        <f>ROUND(J64*K64*H64,1)</f>
        <v>3566.9</v>
      </c>
      <c r="O64" s="51"/>
      <c r="P64" s="51"/>
      <c r="Q64" s="124">
        <v>0</v>
      </c>
      <c r="R64" s="41" t="s">
        <v>0</v>
      </c>
    </row>
    <row r="65" spans="1:18" ht="14.25">
      <c r="A65" s="49" t="s">
        <v>0</v>
      </c>
      <c r="B65" s="50" t="s">
        <v>361</v>
      </c>
      <c r="C65" s="50" t="s">
        <v>0</v>
      </c>
      <c r="D65" s="50" t="s">
        <v>0</v>
      </c>
      <c r="E65" s="50" t="s">
        <v>360</v>
      </c>
      <c r="F65" s="130" t="s">
        <v>0</v>
      </c>
      <c r="G65" s="130" t="s">
        <v>27</v>
      </c>
      <c r="H65" s="130">
        <v>1</v>
      </c>
      <c r="I65" s="130" t="s">
        <v>0</v>
      </c>
      <c r="J65" s="51">
        <f>('Phan tich don gia'!G270)/10</f>
        <v>3128.86584</v>
      </c>
      <c r="K65" s="133">
        <v>1.35</v>
      </c>
      <c r="L65" s="133"/>
      <c r="M65" s="133"/>
      <c r="N65" s="51">
        <f>ROUND(J65*K65*H65,1)</f>
        <v>4224</v>
      </c>
      <c r="O65" s="51"/>
      <c r="P65" s="51"/>
      <c r="Q65" s="124">
        <v>0</v>
      </c>
      <c r="R65" s="41" t="s">
        <v>0</v>
      </c>
    </row>
    <row r="66" spans="1:18" ht="14.25">
      <c r="A66" s="49" t="s">
        <v>195</v>
      </c>
      <c r="B66" s="50" t="s">
        <v>359</v>
      </c>
      <c r="C66" s="50" t="s">
        <v>58</v>
      </c>
      <c r="D66" s="50" t="s">
        <v>0</v>
      </c>
      <c r="E66" s="50" t="s">
        <v>0</v>
      </c>
      <c r="F66" s="130" t="s">
        <v>0</v>
      </c>
      <c r="G66" s="130" t="s">
        <v>0</v>
      </c>
      <c r="H66" s="130"/>
      <c r="I66" s="130" t="s">
        <v>354</v>
      </c>
      <c r="J66" s="51"/>
      <c r="K66" s="133"/>
      <c r="L66" s="133"/>
      <c r="M66" s="133"/>
      <c r="N66" s="125"/>
      <c r="O66" s="125"/>
      <c r="P66" s="125">
        <v>50000</v>
      </c>
      <c r="Q66" s="126">
        <f>N66+O66+P66</f>
        <v>50000</v>
      </c>
      <c r="R66" s="41" t="s">
        <v>0</v>
      </c>
    </row>
    <row r="67" spans="1:18" ht="14.25">
      <c r="A67" s="49" t="s">
        <v>197</v>
      </c>
      <c r="B67" s="50" t="s">
        <v>358</v>
      </c>
      <c r="C67" s="50" t="s">
        <v>79</v>
      </c>
      <c r="D67" s="50" t="s">
        <v>0</v>
      </c>
      <c r="E67" s="50" t="s">
        <v>0</v>
      </c>
      <c r="F67" s="130" t="s">
        <v>0</v>
      </c>
      <c r="G67" s="130" t="s">
        <v>0</v>
      </c>
      <c r="H67" s="130"/>
      <c r="I67" s="130" t="s">
        <v>354</v>
      </c>
      <c r="J67" s="51"/>
      <c r="K67" s="133"/>
      <c r="L67" s="133"/>
      <c r="M67" s="133"/>
      <c r="N67" s="125"/>
      <c r="O67" s="125"/>
      <c r="P67" s="125">
        <v>9250</v>
      </c>
      <c r="Q67" s="126">
        <f>N67+O67+P67</f>
        <v>9250</v>
      </c>
      <c r="R67" s="41" t="s">
        <v>0</v>
      </c>
    </row>
    <row r="68" spans="1:18" ht="14.25">
      <c r="A68" s="49" t="s">
        <v>199</v>
      </c>
      <c r="B68" s="50" t="s">
        <v>357</v>
      </c>
      <c r="C68" s="50" t="s">
        <v>126</v>
      </c>
      <c r="D68" s="50" t="s">
        <v>0</v>
      </c>
      <c r="E68" s="50" t="s">
        <v>0</v>
      </c>
      <c r="F68" s="130" t="s">
        <v>0</v>
      </c>
      <c r="G68" s="130" t="s">
        <v>0</v>
      </c>
      <c r="H68" s="130"/>
      <c r="I68" s="130" t="s">
        <v>354</v>
      </c>
      <c r="J68" s="51"/>
      <c r="K68" s="133"/>
      <c r="L68" s="133"/>
      <c r="M68" s="133"/>
      <c r="N68" s="125"/>
      <c r="O68" s="125"/>
      <c r="P68" s="125">
        <v>14800</v>
      </c>
      <c r="Q68" s="126">
        <f>N68+O68+P68</f>
        <v>14800</v>
      </c>
      <c r="R68" s="41" t="s">
        <v>0</v>
      </c>
    </row>
    <row r="69" spans="1:18" ht="14.25">
      <c r="A69" s="49" t="s">
        <v>202</v>
      </c>
      <c r="B69" s="50" t="s">
        <v>356</v>
      </c>
      <c r="C69" s="50" t="s">
        <v>77</v>
      </c>
      <c r="D69" s="50" t="s">
        <v>0</v>
      </c>
      <c r="E69" s="50" t="s">
        <v>0</v>
      </c>
      <c r="F69" s="130" t="s">
        <v>0</v>
      </c>
      <c r="G69" s="130" t="s">
        <v>0</v>
      </c>
      <c r="H69" s="130"/>
      <c r="I69" s="130" t="s">
        <v>354</v>
      </c>
      <c r="J69" s="51"/>
      <c r="K69" s="133"/>
      <c r="L69" s="133"/>
      <c r="M69" s="133"/>
      <c r="N69" s="125"/>
      <c r="O69" s="125"/>
      <c r="P69" s="125">
        <v>8491000</v>
      </c>
      <c r="Q69" s="126">
        <f>N69+O69+P69</f>
        <v>8491000</v>
      </c>
      <c r="R69" s="41" t="s">
        <v>0</v>
      </c>
    </row>
    <row r="70" spans="1:18" ht="15" thickBot="1">
      <c r="A70" s="54" t="s">
        <v>204</v>
      </c>
      <c r="B70" s="55" t="s">
        <v>355</v>
      </c>
      <c r="C70" s="55" t="s">
        <v>103</v>
      </c>
      <c r="D70" s="55" t="s">
        <v>0</v>
      </c>
      <c r="E70" s="55" t="s">
        <v>0</v>
      </c>
      <c r="F70" s="131" t="s">
        <v>0</v>
      </c>
      <c r="G70" s="131" t="s">
        <v>0</v>
      </c>
      <c r="H70" s="131"/>
      <c r="I70" s="131" t="s">
        <v>354</v>
      </c>
      <c r="J70" s="56"/>
      <c r="K70" s="134"/>
      <c r="L70" s="134"/>
      <c r="M70" s="134"/>
      <c r="N70" s="127"/>
      <c r="O70" s="127"/>
      <c r="P70" s="127">
        <v>29300</v>
      </c>
      <c r="Q70" s="128">
        <f>N70+O70+P70</f>
        <v>29300</v>
      </c>
      <c r="R70" s="41" t="s">
        <v>0</v>
      </c>
    </row>
  </sheetData>
  <sheetProtection/>
  <mergeCells count="4">
    <mergeCell ref="A1:Q1"/>
    <mergeCell ref="A3:Q3"/>
    <mergeCell ref="A4:Q4"/>
    <mergeCell ref="A5:Q5"/>
  </mergeCells>
  <printOptions horizontalCentered="1"/>
  <pageMargins left="0.4" right="0.25" top="0.5" bottom="0.5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8"/>
  <sheetViews>
    <sheetView showZeros="0" zoomScalePageLayoutView="0" workbookViewId="0" topLeftCell="A1">
      <selection activeCell="A1" sqref="A1:K1"/>
    </sheetView>
  </sheetViews>
  <sheetFormatPr defaultColWidth="8.796875" defaultRowHeight="15"/>
  <cols>
    <col min="1" max="1" width="3.59765625" style="41" customWidth="1"/>
    <col min="2" max="2" width="7.59765625" style="41" customWidth="1"/>
    <col min="3" max="3" width="25.59765625" style="41" customWidth="1"/>
    <col min="4" max="4" width="4.69921875" style="41" customWidth="1"/>
    <col min="5" max="5" width="7.09765625" style="152" customWidth="1"/>
    <col min="6" max="8" width="6.09765625" style="122" customWidth="1"/>
    <col min="9" max="9" width="6.59765625" style="122" customWidth="1"/>
    <col min="10" max="10" width="60" style="41" hidden="1" customWidth="1"/>
    <col min="11" max="11" width="9.59765625" style="64" customWidth="1"/>
    <col min="12" max="16384" width="9" style="41" customWidth="1"/>
  </cols>
  <sheetData>
    <row r="1" spans="1:11" ht="21" customHeight="1">
      <c r="A1" s="243" t="s">
        <v>480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</row>
    <row r="2" spans="1:11" ht="14.25">
      <c r="A2" s="44"/>
      <c r="B2" s="44"/>
      <c r="C2" s="44"/>
      <c r="D2" s="44"/>
      <c r="E2" s="155"/>
      <c r="F2" s="156"/>
      <c r="G2" s="156"/>
      <c r="H2" s="156"/>
      <c r="I2" s="156"/>
      <c r="J2" s="44"/>
      <c r="K2" s="68"/>
    </row>
    <row r="3" spans="1:11" s="39" customFormat="1" ht="16.5" customHeight="1">
      <c r="A3" s="242" t="s">
        <v>423</v>
      </c>
      <c r="B3" s="242"/>
      <c r="C3" s="242"/>
      <c r="D3" s="242"/>
      <c r="E3" s="242"/>
      <c r="F3" s="242"/>
      <c r="G3" s="242"/>
      <c r="H3" s="242"/>
      <c r="I3" s="242"/>
      <c r="J3" s="242"/>
      <c r="K3" s="242"/>
    </row>
    <row r="4" spans="1:11" s="39" customFormat="1" ht="16.5" customHeight="1">
      <c r="A4" s="242" t="s">
        <v>424</v>
      </c>
      <c r="B4" s="242"/>
      <c r="C4" s="242"/>
      <c r="D4" s="242"/>
      <c r="E4" s="242"/>
      <c r="F4" s="242"/>
      <c r="G4" s="242"/>
      <c r="H4" s="242"/>
      <c r="I4" s="242"/>
      <c r="J4" s="242"/>
      <c r="K4" s="242"/>
    </row>
    <row r="5" spans="1:11" s="39" customFormat="1" ht="16.5" customHeight="1">
      <c r="A5" s="242"/>
      <c r="B5" s="242"/>
      <c r="C5" s="242"/>
      <c r="D5" s="242"/>
      <c r="E5" s="242"/>
      <c r="F5" s="242"/>
      <c r="G5" s="242"/>
      <c r="H5" s="242"/>
      <c r="I5" s="242"/>
      <c r="J5" s="242"/>
      <c r="K5" s="242"/>
    </row>
    <row r="6" spans="1:11" ht="15" thickBot="1">
      <c r="A6" s="44"/>
      <c r="B6" s="44"/>
      <c r="C6" s="44"/>
      <c r="D6" s="44"/>
      <c r="E6" s="155"/>
      <c r="F6" s="156"/>
      <c r="G6" s="156"/>
      <c r="H6" s="156"/>
      <c r="I6" s="156"/>
      <c r="J6" s="44"/>
      <c r="K6" s="68"/>
    </row>
    <row r="7" spans="1:11" ht="45" customHeight="1">
      <c r="A7" s="146" t="s">
        <v>276</v>
      </c>
      <c r="B7" s="148" t="s">
        <v>435</v>
      </c>
      <c r="C7" s="147" t="s">
        <v>436</v>
      </c>
      <c r="D7" s="148" t="s">
        <v>445</v>
      </c>
      <c r="E7" s="157" t="s">
        <v>481</v>
      </c>
      <c r="F7" s="158" t="s">
        <v>482</v>
      </c>
      <c r="G7" s="158" t="s">
        <v>483</v>
      </c>
      <c r="H7" s="158" t="s">
        <v>484</v>
      </c>
      <c r="I7" s="158" t="s">
        <v>485</v>
      </c>
      <c r="J7" s="147" t="s">
        <v>486</v>
      </c>
      <c r="K7" s="159" t="s">
        <v>487</v>
      </c>
    </row>
    <row r="8" spans="1:11" ht="15" thickBot="1">
      <c r="A8" s="47" t="s">
        <v>0</v>
      </c>
      <c r="B8" s="48" t="s">
        <v>0</v>
      </c>
      <c r="C8" s="48" t="s">
        <v>0</v>
      </c>
      <c r="D8" s="48" t="s">
        <v>0</v>
      </c>
      <c r="E8" s="153" t="s">
        <v>0</v>
      </c>
      <c r="F8" s="123">
        <v>0</v>
      </c>
      <c r="G8" s="123">
        <v>0</v>
      </c>
      <c r="H8" s="123">
        <v>0</v>
      </c>
      <c r="I8" s="123">
        <v>0</v>
      </c>
      <c r="J8" s="48" t="s">
        <v>0</v>
      </c>
      <c r="K8" s="154"/>
    </row>
  </sheetData>
  <sheetProtection/>
  <mergeCells count="4">
    <mergeCell ref="A1:K1"/>
    <mergeCell ref="A3:K3"/>
    <mergeCell ref="A4:K4"/>
    <mergeCell ref="A5:K5"/>
  </mergeCells>
  <printOptions horizontalCentered="1"/>
  <pageMargins left="0.6" right="0.4" top="0.75" bottom="0.75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86"/>
  <sheetViews>
    <sheetView showZeros="0" zoomScalePageLayoutView="0" workbookViewId="0" topLeftCell="A1">
      <selection activeCell="A1" sqref="A1:F1"/>
    </sheetView>
  </sheetViews>
  <sheetFormatPr defaultColWidth="8.796875" defaultRowHeight="15"/>
  <cols>
    <col min="1" max="1" width="4.3984375" style="6" customWidth="1"/>
    <col min="2" max="2" width="32.69921875" style="6" customWidth="1"/>
    <col min="3" max="3" width="5.59765625" style="6" customWidth="1"/>
    <col min="4" max="4" width="12" style="160" customWidth="1"/>
    <col min="5" max="5" width="12.5" style="160" customWidth="1"/>
    <col min="6" max="6" width="15.59765625" style="160" customWidth="1"/>
    <col min="7" max="16384" width="9" style="6" customWidth="1"/>
  </cols>
  <sheetData>
    <row r="1" spans="1:6" ht="21">
      <c r="A1" s="243" t="s">
        <v>488</v>
      </c>
      <c r="B1" s="243"/>
      <c r="C1" s="243"/>
      <c r="D1" s="243"/>
      <c r="E1" s="243"/>
      <c r="F1" s="243"/>
    </row>
    <row r="2" spans="1:6" ht="15.75">
      <c r="A2" s="2"/>
      <c r="B2" s="2"/>
      <c r="C2" s="2"/>
      <c r="D2" s="5"/>
      <c r="E2" s="5"/>
      <c r="F2" s="5"/>
    </row>
    <row r="3" spans="1:6" s="39" customFormat="1" ht="16.5">
      <c r="A3" s="242" t="s">
        <v>423</v>
      </c>
      <c r="B3" s="242"/>
      <c r="C3" s="242"/>
      <c r="D3" s="242"/>
      <c r="E3" s="242"/>
      <c r="F3" s="242"/>
    </row>
    <row r="4" spans="1:6" s="39" customFormat="1" ht="16.5">
      <c r="A4" s="242" t="s">
        <v>424</v>
      </c>
      <c r="B4" s="242"/>
      <c r="C4" s="242"/>
      <c r="D4" s="242"/>
      <c r="E4" s="242"/>
      <c r="F4" s="242"/>
    </row>
    <row r="5" spans="1:6" s="39" customFormat="1" ht="16.5">
      <c r="A5" s="242"/>
      <c r="B5" s="242"/>
      <c r="C5" s="242"/>
      <c r="D5" s="242"/>
      <c r="E5" s="242"/>
      <c r="F5" s="242"/>
    </row>
    <row r="6" spans="1:6" ht="16.5" thickBot="1">
      <c r="A6" s="2"/>
      <c r="B6" s="2"/>
      <c r="C6" s="2"/>
      <c r="D6" s="5"/>
      <c r="E6" s="5"/>
      <c r="F6" s="5"/>
    </row>
    <row r="7" spans="1:6" ht="45" customHeight="1">
      <c r="A7" s="34" t="s">
        <v>276</v>
      </c>
      <c r="B7" s="35" t="s">
        <v>489</v>
      </c>
      <c r="C7" s="36" t="s">
        <v>445</v>
      </c>
      <c r="D7" s="169" t="s">
        <v>490</v>
      </c>
      <c r="E7" s="169" t="s">
        <v>434</v>
      </c>
      <c r="F7" s="170" t="s">
        <v>432</v>
      </c>
    </row>
    <row r="8" spans="1:6" ht="15.75">
      <c r="A8" s="20" t="s">
        <v>0</v>
      </c>
      <c r="B8" s="21" t="s">
        <v>1</v>
      </c>
      <c r="C8" s="21" t="s">
        <v>0</v>
      </c>
      <c r="D8" s="167">
        <f>SUMIF('Phan tich KL VL,NC,M'!C$8:C$182,B8,'Phan tich KL VL,NC,M'!G$8:G$182)</f>
        <v>0</v>
      </c>
      <c r="E8" s="167">
        <v>0</v>
      </c>
      <c r="F8" s="168"/>
    </row>
    <row r="9" spans="1:6" ht="15">
      <c r="A9" s="12" t="s">
        <v>0</v>
      </c>
      <c r="B9" s="13" t="s">
        <v>0</v>
      </c>
      <c r="C9" s="13" t="s">
        <v>0</v>
      </c>
      <c r="D9" s="163">
        <f>SUMIF('Phan tich KL VL,NC,M'!C$8:C$182,B9,'Phan tich KL VL,NC,M'!G$8:G$182)</f>
        <v>0</v>
      </c>
      <c r="E9" s="163">
        <v>0</v>
      </c>
      <c r="F9" s="164"/>
    </row>
    <row r="10" spans="1:6" ht="15.75">
      <c r="A10" s="8" t="s">
        <v>0</v>
      </c>
      <c r="B10" s="9" t="s">
        <v>410</v>
      </c>
      <c r="C10" s="9" t="s">
        <v>0</v>
      </c>
      <c r="D10" s="161">
        <f>SUMIF('Phan tich KL VL,NC,M'!C$8:C$182,B10,'Phan tich KL VL,NC,M'!G$8:G$182)</f>
        <v>0</v>
      </c>
      <c r="E10" s="161">
        <v>0</v>
      </c>
      <c r="F10" s="162">
        <f>SUM(F11:F55)</f>
        <v>611827770.1261656</v>
      </c>
    </row>
    <row r="11" spans="1:6" ht="15">
      <c r="A11" s="12" t="s">
        <v>0</v>
      </c>
      <c r="B11" s="13" t="s">
        <v>0</v>
      </c>
      <c r="C11" s="13" t="s">
        <v>0</v>
      </c>
      <c r="D11" s="163">
        <f>SUMIF('Phan tich KL VL,NC,M'!C$8:C$182,B11,'Phan tich KL VL,NC,M'!G$8:G$182)</f>
        <v>0</v>
      </c>
      <c r="E11" s="163">
        <v>0</v>
      </c>
      <c r="F11" s="164"/>
    </row>
    <row r="12" spans="1:6" ht="15">
      <c r="A12" s="12" t="s">
        <v>324</v>
      </c>
      <c r="B12" s="13" t="s">
        <v>325</v>
      </c>
      <c r="C12" s="13" t="s">
        <v>324</v>
      </c>
      <c r="D12" s="163">
        <f>100</f>
        <v>100</v>
      </c>
      <c r="E12" s="163">
        <v>2797.88467</v>
      </c>
      <c r="F12" s="164">
        <f aca="true" t="shared" si="0" ref="F12:F54">D12*E12</f>
        <v>279788.467</v>
      </c>
    </row>
    <row r="13" spans="1:6" ht="15">
      <c r="A13" s="12" t="s">
        <v>2</v>
      </c>
      <c r="B13" s="13" t="s">
        <v>141</v>
      </c>
      <c r="C13" s="13" t="s">
        <v>126</v>
      </c>
      <c r="D13" s="163">
        <f>SUMIF('Phan tich KL VL,NC,M'!C$8:C$182,B13,'Phan tich KL VL,NC,M'!G$8:G$182)</f>
        <v>34</v>
      </c>
      <c r="E13" s="163">
        <f>'Gia VL'!Q9</f>
        <v>16691</v>
      </c>
      <c r="F13" s="164">
        <f t="shared" si="0"/>
        <v>567494</v>
      </c>
    </row>
    <row r="14" spans="1:6" ht="15">
      <c r="A14" s="12" t="s">
        <v>11</v>
      </c>
      <c r="B14" s="13" t="s">
        <v>131</v>
      </c>
      <c r="C14" s="13" t="s">
        <v>126</v>
      </c>
      <c r="D14" s="163">
        <f>SUMIF('Phan tich KL VL,NC,M'!C$8:C$182,B14,'Phan tich KL VL,NC,M'!G$8:G$182)</f>
        <v>8</v>
      </c>
      <c r="E14" s="163">
        <f>'Gia VL'!Q10</f>
        <v>41800</v>
      </c>
      <c r="F14" s="164">
        <f t="shared" si="0"/>
        <v>334400</v>
      </c>
    </row>
    <row r="15" spans="1:6" ht="15">
      <c r="A15" s="12" t="s">
        <v>14</v>
      </c>
      <c r="B15" s="13" t="s">
        <v>127</v>
      </c>
      <c r="C15" s="13" t="s">
        <v>103</v>
      </c>
      <c r="D15" s="163">
        <f>SUMIF('Phan tich KL VL,NC,M'!C$8:C$182,B15,'Phan tich KL VL,NC,M'!G$8:G$182)</f>
        <v>3</v>
      </c>
      <c r="E15" s="163">
        <f>'Gia VL'!Q11</f>
        <v>333615</v>
      </c>
      <c r="F15" s="164">
        <f t="shared" si="0"/>
        <v>1000845</v>
      </c>
    </row>
    <row r="16" spans="1:6" ht="15">
      <c r="A16" s="12" t="s">
        <v>27</v>
      </c>
      <c r="B16" s="13" t="s">
        <v>119</v>
      </c>
      <c r="C16" s="13" t="s">
        <v>103</v>
      </c>
      <c r="D16" s="163">
        <f>SUMIF('Phan tich KL VL,NC,M'!C$8:C$182,B16,'Phan tich KL VL,NC,M'!G$8:G$182)</f>
        <v>242</v>
      </c>
      <c r="E16" s="163">
        <f>'Gia VL'!Q12</f>
        <v>22267</v>
      </c>
      <c r="F16" s="164">
        <f t="shared" si="0"/>
        <v>5388614</v>
      </c>
    </row>
    <row r="17" spans="1:6" ht="15">
      <c r="A17" s="12" t="s">
        <v>34</v>
      </c>
      <c r="B17" s="13" t="s">
        <v>20</v>
      </c>
      <c r="C17" s="13" t="s">
        <v>21</v>
      </c>
      <c r="D17" s="163">
        <f>SUMIF('Phan tich KL VL,NC,M'!C$8:C$182,B17,'Phan tich KL VL,NC,M'!G$8:G$182)</f>
        <v>16.920864</v>
      </c>
      <c r="E17" s="163">
        <f>'Gia VL'!Q13</f>
        <v>338389.3</v>
      </c>
      <c r="F17" s="164">
        <f t="shared" si="0"/>
        <v>5725839.3243552</v>
      </c>
    </row>
    <row r="18" spans="1:6" ht="15">
      <c r="A18" s="12" t="s">
        <v>39</v>
      </c>
      <c r="B18" s="13" t="s">
        <v>76</v>
      </c>
      <c r="C18" s="13" t="s">
        <v>77</v>
      </c>
      <c r="D18" s="163">
        <f>SUMIF('Phan tich KL VL,NC,M'!C$8:C$182,B18,'Phan tich KL VL,NC,M'!G$8:G$182)</f>
        <v>14</v>
      </c>
      <c r="E18" s="163">
        <f>'Gia VL'!Q17</f>
        <v>698289</v>
      </c>
      <c r="F18" s="164">
        <f t="shared" si="0"/>
        <v>9776046</v>
      </c>
    </row>
    <row r="19" spans="1:6" ht="15">
      <c r="A19" s="12" t="s">
        <v>48</v>
      </c>
      <c r="B19" s="13" t="s">
        <v>84</v>
      </c>
      <c r="C19" s="13" t="s">
        <v>77</v>
      </c>
      <c r="D19" s="163">
        <f>SUMIF('Phan tich KL VL,NC,M'!C$8:C$182,B19,'Phan tich KL VL,NC,M'!G$8:G$182)</f>
        <v>22</v>
      </c>
      <c r="E19" s="163">
        <f>'Gia VL'!Q18</f>
        <v>780367</v>
      </c>
      <c r="F19" s="164">
        <f t="shared" si="0"/>
        <v>17168074</v>
      </c>
    </row>
    <row r="20" spans="1:6" ht="15">
      <c r="A20" s="12" t="s">
        <v>53</v>
      </c>
      <c r="B20" s="13" t="s">
        <v>67</v>
      </c>
      <c r="C20" s="13" t="s">
        <v>58</v>
      </c>
      <c r="D20" s="163">
        <f>SUMIF('Phan tich KL VL,NC,M'!C$8:C$182,B20,'Phan tich KL VL,NC,M'!G$8:G$182)</f>
        <v>22</v>
      </c>
      <c r="E20" s="163">
        <f>'Gia VL'!Q19</f>
        <v>4416000</v>
      </c>
      <c r="F20" s="164">
        <f t="shared" si="0"/>
        <v>97152000</v>
      </c>
    </row>
    <row r="21" spans="1:6" ht="15">
      <c r="A21" s="12" t="s">
        <v>60</v>
      </c>
      <c r="B21" s="13" t="s">
        <v>71</v>
      </c>
      <c r="C21" s="13" t="s">
        <v>58</v>
      </c>
      <c r="D21" s="163">
        <f>SUMIF('Phan tich KL VL,NC,M'!C$8:C$182,B21,'Phan tich KL VL,NC,M'!G$8:G$182)</f>
        <v>2</v>
      </c>
      <c r="E21" s="163">
        <f>'Gia VL'!Q20</f>
        <v>4644000</v>
      </c>
      <c r="F21" s="164">
        <f t="shared" si="0"/>
        <v>9288000</v>
      </c>
    </row>
    <row r="22" spans="1:6" ht="15">
      <c r="A22" s="12" t="s">
        <v>64</v>
      </c>
      <c r="B22" s="13" t="s">
        <v>57</v>
      </c>
      <c r="C22" s="13" t="s">
        <v>58</v>
      </c>
      <c r="D22" s="163">
        <f>SUMIF('Phan tich KL VL,NC,M'!C$8:C$182,B22,'Phan tich KL VL,NC,M'!G$8:G$182)</f>
        <v>5</v>
      </c>
      <c r="E22" s="163">
        <f>'Gia VL'!Q21</f>
        <v>2784000</v>
      </c>
      <c r="F22" s="164">
        <f t="shared" si="0"/>
        <v>13920000</v>
      </c>
    </row>
    <row r="23" spans="1:6" ht="15">
      <c r="A23" s="12" t="s">
        <v>68</v>
      </c>
      <c r="B23" s="13" t="s">
        <v>63</v>
      </c>
      <c r="C23" s="13" t="s">
        <v>58</v>
      </c>
      <c r="D23" s="163">
        <f>SUMIF('Phan tich KL VL,NC,M'!C$8:C$182,B23,'Phan tich KL VL,NC,M'!G$8:G$182)</f>
        <v>3</v>
      </c>
      <c r="E23" s="163">
        <f>'Gia VL'!Q22</f>
        <v>3420000</v>
      </c>
      <c r="F23" s="164">
        <f t="shared" si="0"/>
        <v>10260000</v>
      </c>
    </row>
    <row r="24" spans="1:6" ht="15">
      <c r="A24" s="12" t="s">
        <v>72</v>
      </c>
      <c r="B24" s="13" t="s">
        <v>135</v>
      </c>
      <c r="C24" s="13" t="s">
        <v>136</v>
      </c>
      <c r="D24" s="163">
        <f>SUMIF('Phan tich KL VL,NC,M'!C$8:C$182,B24,'Phan tich KL VL,NC,M'!G$8:G$182)</f>
        <v>1</v>
      </c>
      <c r="E24" s="163">
        <f>'Gia VL'!Q23</f>
        <v>400</v>
      </c>
      <c r="F24" s="164">
        <f t="shared" si="0"/>
        <v>400</v>
      </c>
    </row>
    <row r="25" spans="1:6" ht="15">
      <c r="A25" s="12" t="s">
        <v>81</v>
      </c>
      <c r="B25" s="13" t="s">
        <v>115</v>
      </c>
      <c r="C25" s="13" t="s">
        <v>103</v>
      </c>
      <c r="D25" s="163">
        <f>SUMIF('Phan tich KL VL,NC,M'!C$8:C$182,B25,'Phan tich KL VL,NC,M'!G$8:G$182)</f>
        <v>1265</v>
      </c>
      <c r="E25" s="163">
        <f>'Gia VL'!Q24</f>
        <v>43185</v>
      </c>
      <c r="F25" s="164">
        <f t="shared" si="0"/>
        <v>54629025</v>
      </c>
    </row>
    <row r="26" spans="1:6" ht="15">
      <c r="A26" s="12" t="s">
        <v>85</v>
      </c>
      <c r="B26" s="13" t="s">
        <v>102</v>
      </c>
      <c r="C26" s="13" t="s">
        <v>103</v>
      </c>
      <c r="D26" s="163">
        <f>SUMIF('Phan tich KL VL,NC,M'!C$8:C$182,B26,'Phan tich KL VL,NC,M'!G$8:G$182)</f>
        <v>7.5</v>
      </c>
      <c r="E26" s="163">
        <f>'Gia VL'!Q25</f>
        <v>30871</v>
      </c>
      <c r="F26" s="164">
        <f t="shared" si="0"/>
        <v>231532.5</v>
      </c>
    </row>
    <row r="27" spans="1:6" ht="15">
      <c r="A27" s="12" t="s">
        <v>90</v>
      </c>
      <c r="B27" s="13" t="s">
        <v>96</v>
      </c>
      <c r="C27" s="13" t="s">
        <v>77</v>
      </c>
      <c r="D27" s="163">
        <f>SUMIF('Phan tich KL VL,NC,M'!C$8:C$182,B27,'Phan tich KL VL,NC,M'!G$8:G$182)</f>
        <v>1</v>
      </c>
      <c r="E27" s="163">
        <f>'Gia VL'!Q26</f>
        <v>147491</v>
      </c>
      <c r="F27" s="164">
        <f t="shared" si="0"/>
        <v>147491</v>
      </c>
    </row>
    <row r="28" spans="1:6" ht="15">
      <c r="A28" s="12" t="s">
        <v>97</v>
      </c>
      <c r="B28" s="13" t="s">
        <v>45</v>
      </c>
      <c r="C28" s="13" t="s">
        <v>21</v>
      </c>
      <c r="D28" s="163">
        <f>SUMIF('Phan tich KL VL,NC,M'!C$8:C$182,B28,'Phan tich KL VL,NC,M'!G$8:G$182)</f>
        <v>0.352152</v>
      </c>
      <c r="E28" s="163">
        <f>'Gia VL'!Q27</f>
        <v>4090909.09</v>
      </c>
      <c r="F28" s="164">
        <f t="shared" si="0"/>
        <v>1440621.81786168</v>
      </c>
    </row>
    <row r="29" spans="1:6" ht="15">
      <c r="A29" s="12" t="s">
        <v>106</v>
      </c>
      <c r="B29" s="13" t="s">
        <v>43</v>
      </c>
      <c r="C29" s="13" t="s">
        <v>21</v>
      </c>
      <c r="D29" s="163">
        <f>SUMIF('Phan tich KL VL,NC,M'!C$8:C$182,B29,'Phan tich KL VL,NC,M'!G$8:G$182)</f>
        <v>0.8346528</v>
      </c>
      <c r="E29" s="163">
        <f>'Gia VL'!Q28</f>
        <v>4090909.09</v>
      </c>
      <c r="F29" s="164">
        <f t="shared" si="0"/>
        <v>3414488.7265139516</v>
      </c>
    </row>
    <row r="30" spans="1:6" ht="15">
      <c r="A30" s="12" t="s">
        <v>110</v>
      </c>
      <c r="B30" s="13" t="s">
        <v>44</v>
      </c>
      <c r="C30" s="13" t="s">
        <v>21</v>
      </c>
      <c r="D30" s="163">
        <f>SUMIF('Phan tich KL VL,NC,M'!C$8:C$182,B30,'Phan tich KL VL,NC,M'!G$8:G$182)</f>
        <v>0.220752</v>
      </c>
      <c r="E30" s="163">
        <f>'Gia VL'!Q29</f>
        <v>4090909.09</v>
      </c>
      <c r="F30" s="164">
        <f t="shared" si="0"/>
        <v>903076.3634356799</v>
      </c>
    </row>
    <row r="31" spans="1:6" ht="15">
      <c r="A31" s="12" t="s">
        <v>116</v>
      </c>
      <c r="B31" s="13" t="s">
        <v>133</v>
      </c>
      <c r="C31" s="13" t="s">
        <v>123</v>
      </c>
      <c r="D31" s="163">
        <f>SUMIF('Phan tich KL VL,NC,M'!C$8:C$182,B31,'Phan tich KL VL,NC,M'!G$8:G$182)</f>
        <v>11</v>
      </c>
      <c r="E31" s="163">
        <f>'Gia VL'!Q30</f>
        <v>2200</v>
      </c>
      <c r="F31" s="164">
        <f t="shared" si="0"/>
        <v>24200</v>
      </c>
    </row>
    <row r="32" spans="1:6" ht="15">
      <c r="A32" s="12" t="s">
        <v>120</v>
      </c>
      <c r="B32" s="13" t="s">
        <v>132</v>
      </c>
      <c r="C32" s="13" t="s">
        <v>126</v>
      </c>
      <c r="D32" s="163">
        <f>SUMIF('Phan tich KL VL,NC,M'!C$8:C$182,B32,'Phan tich KL VL,NC,M'!G$8:G$182)</f>
        <v>12</v>
      </c>
      <c r="E32" s="163">
        <f>'Gia VL'!Q31</f>
        <v>45570</v>
      </c>
      <c r="F32" s="164">
        <f t="shared" si="0"/>
        <v>546840</v>
      </c>
    </row>
    <row r="33" spans="1:6" ht="15">
      <c r="A33" s="12" t="s">
        <v>128</v>
      </c>
      <c r="B33" s="13" t="s">
        <v>165</v>
      </c>
      <c r="C33" s="13" t="s">
        <v>126</v>
      </c>
      <c r="D33" s="163">
        <f>SUMIF('Phan tich KL VL,NC,M'!C$8:C$182,B33,'Phan tich KL VL,NC,M'!G$8:G$182)</f>
        <v>80</v>
      </c>
      <c r="E33" s="163">
        <f>'Gia VL'!Q32</f>
        <v>54300</v>
      </c>
      <c r="F33" s="164">
        <f t="shared" si="0"/>
        <v>4344000</v>
      </c>
    </row>
    <row r="34" spans="1:6" ht="15">
      <c r="A34" s="12" t="s">
        <v>138</v>
      </c>
      <c r="B34" s="13" t="s">
        <v>142</v>
      </c>
      <c r="C34" s="13" t="s">
        <v>126</v>
      </c>
      <c r="D34" s="163">
        <f>SUMIF('Phan tich KL VL,NC,M'!C$8:C$182,B34,'Phan tich KL VL,NC,M'!G$8:G$182)</f>
        <v>30</v>
      </c>
      <c r="E34" s="163">
        <f>'Gia VL'!Q33</f>
        <v>21400</v>
      </c>
      <c r="F34" s="164">
        <f t="shared" si="0"/>
        <v>642000</v>
      </c>
    </row>
    <row r="35" spans="1:6" ht="15">
      <c r="A35" s="12" t="s">
        <v>143</v>
      </c>
      <c r="B35" s="13" t="s">
        <v>23</v>
      </c>
      <c r="C35" s="13" t="s">
        <v>21</v>
      </c>
      <c r="D35" s="163">
        <f>SUMIF('Phan tich KL VL,NC,M'!C$8:C$182,B35,'Phan tich KL VL,NC,M'!G$8:G$182)</f>
        <v>5.282767999999998</v>
      </c>
      <c r="E35" s="163">
        <f>'Gia VL'!Q34</f>
        <v>9545.45</v>
      </c>
      <c r="F35" s="164">
        <f t="shared" si="0"/>
        <v>50426.39780559998</v>
      </c>
    </row>
    <row r="36" spans="1:6" ht="15">
      <c r="A36" s="12" t="s">
        <v>147</v>
      </c>
      <c r="B36" s="13" t="s">
        <v>146</v>
      </c>
      <c r="C36" s="13" t="s">
        <v>126</v>
      </c>
      <c r="D36" s="163">
        <f>SUMIF('Phan tich KL VL,NC,M'!C$8:C$182,B36,'Phan tich KL VL,NC,M'!G$8:G$182)</f>
        <v>28</v>
      </c>
      <c r="E36" s="163">
        <f>'Gia VL'!Q35</f>
        <v>2400</v>
      </c>
      <c r="F36" s="164">
        <f t="shared" si="0"/>
        <v>67200</v>
      </c>
    </row>
    <row r="37" spans="1:6" ht="15">
      <c r="A37" s="12" t="s">
        <v>150</v>
      </c>
      <c r="B37" s="13" t="s">
        <v>137</v>
      </c>
      <c r="C37" s="13" t="s">
        <v>126</v>
      </c>
      <c r="D37" s="163">
        <f>SUMIF('Phan tich KL VL,NC,M'!C$8:C$182,B37,'Phan tich KL VL,NC,M'!G$8:G$182)</f>
        <v>4</v>
      </c>
      <c r="E37" s="163">
        <f>'Gia VL'!Q36</f>
        <v>2400</v>
      </c>
      <c r="F37" s="164">
        <f t="shared" si="0"/>
        <v>9600</v>
      </c>
    </row>
    <row r="38" spans="1:6" ht="15">
      <c r="A38" s="12" t="s">
        <v>153</v>
      </c>
      <c r="B38" s="13" t="s">
        <v>78</v>
      </c>
      <c r="C38" s="13" t="s">
        <v>79</v>
      </c>
      <c r="D38" s="163">
        <f>SUMIF('Phan tich KL VL,NC,M'!C$8:C$182,B38,'Phan tich KL VL,NC,M'!G$8:G$182)</f>
        <v>36</v>
      </c>
      <c r="E38" s="163">
        <f>'Gia VL'!Q37</f>
        <v>757452</v>
      </c>
      <c r="F38" s="164">
        <f t="shared" si="0"/>
        <v>27268272</v>
      </c>
    </row>
    <row r="39" spans="1:6" ht="15">
      <c r="A39" s="12" t="s">
        <v>156</v>
      </c>
      <c r="B39" s="13" t="s">
        <v>100</v>
      </c>
      <c r="C39" s="13" t="s">
        <v>19</v>
      </c>
      <c r="D39" s="163">
        <f>SUMIF('Phan tich KL VL,NC,M'!C$8:C$182,B39,'Phan tich KL VL,NC,M'!G$8:G$182)</f>
        <v>203.70000000000002</v>
      </c>
      <c r="E39" s="163">
        <f>ROUND('Gia VL'!Q38/1000,5)</f>
        <v>41.664</v>
      </c>
      <c r="F39" s="164">
        <f t="shared" si="0"/>
        <v>8486.956800000002</v>
      </c>
    </row>
    <row r="40" spans="1:6" ht="15">
      <c r="A40" s="12" t="s">
        <v>159</v>
      </c>
      <c r="B40" s="13" t="s">
        <v>109</v>
      </c>
      <c r="C40" s="13" t="s">
        <v>77</v>
      </c>
      <c r="D40" s="163">
        <f>SUMIF('Phan tich KL VL,NC,M'!C$8:C$182,B40,'Phan tich KL VL,NC,M'!G$8:G$182)</f>
        <v>1</v>
      </c>
      <c r="E40" s="163">
        <f>'Gia VL'!Q39</f>
        <v>569964</v>
      </c>
      <c r="F40" s="164">
        <f t="shared" si="0"/>
        <v>569964</v>
      </c>
    </row>
    <row r="41" spans="1:6" ht="15">
      <c r="A41" s="12" t="s">
        <v>162</v>
      </c>
      <c r="B41" s="13" t="s">
        <v>94</v>
      </c>
      <c r="C41" s="13" t="s">
        <v>77</v>
      </c>
      <c r="D41" s="163">
        <f>SUMIF('Phan tich KL VL,NC,M'!C$8:C$182,B41,'Phan tich KL VL,NC,M'!G$8:G$182)</f>
        <v>1</v>
      </c>
      <c r="E41" s="163">
        <f>'Gia VL'!Q40</f>
        <v>17029950</v>
      </c>
      <c r="F41" s="164">
        <f t="shared" si="0"/>
        <v>17029950</v>
      </c>
    </row>
    <row r="42" spans="1:6" ht="15">
      <c r="A42" s="12" t="s">
        <v>166</v>
      </c>
      <c r="B42" s="13" t="s">
        <v>18</v>
      </c>
      <c r="C42" s="13" t="s">
        <v>19</v>
      </c>
      <c r="D42" s="163">
        <f>SUMIF('Phan tich KL VL,NC,M'!C$8:C$182,B42,'Phan tich KL VL,NC,M'!G$8:G$182)</f>
        <v>949.56</v>
      </c>
      <c r="E42" s="163">
        <f>ROUND('Gia VL'!Q41/1000,5)</f>
        <v>1637.6775</v>
      </c>
      <c r="F42" s="164">
        <f t="shared" si="0"/>
        <v>1555073.0469</v>
      </c>
    </row>
    <row r="43" spans="1:6" ht="15">
      <c r="A43" s="12" t="s">
        <v>171</v>
      </c>
      <c r="B43" s="13" t="s">
        <v>31</v>
      </c>
      <c r="C43" s="13" t="s">
        <v>19</v>
      </c>
      <c r="D43" s="163">
        <f>SUMIF('Phan tich KL VL,NC,M'!C$8:C$182,B43,'Phan tich KL VL,NC,M'!G$8:G$182)</f>
        <v>5453.655999999999</v>
      </c>
      <c r="E43" s="163">
        <f>ROUND('Gia VL'!Q43/1000,5)</f>
        <v>1701.3145</v>
      </c>
      <c r="F43" s="164">
        <f t="shared" si="0"/>
        <v>9278384.030811999</v>
      </c>
    </row>
    <row r="44" spans="1:6" ht="15">
      <c r="A44" s="12" t="s">
        <v>177</v>
      </c>
      <c r="B44" s="13" t="s">
        <v>95</v>
      </c>
      <c r="C44" s="13" t="s">
        <v>77</v>
      </c>
      <c r="D44" s="163">
        <f>SUMIF('Phan tich KL VL,NC,M'!C$8:C$182,B44,'Phan tich KL VL,NC,M'!G$8:G$182)</f>
        <v>1</v>
      </c>
      <c r="E44" s="163">
        <f>'Gia VL'!Q45</f>
        <v>1070765</v>
      </c>
      <c r="F44" s="164">
        <f t="shared" si="0"/>
        <v>1070765</v>
      </c>
    </row>
    <row r="45" spans="1:6" ht="15">
      <c r="A45" s="12" t="s">
        <v>180</v>
      </c>
      <c r="B45" s="13" t="s">
        <v>134</v>
      </c>
      <c r="C45" s="13" t="s">
        <v>103</v>
      </c>
      <c r="D45" s="163">
        <f>SUMIF('Phan tich KL VL,NC,M'!C$8:C$182,B45,'Phan tich KL VL,NC,M'!G$8:G$182)</f>
        <v>13.8</v>
      </c>
      <c r="E45" s="163">
        <f>'Gia VL'!Q46</f>
        <v>7800</v>
      </c>
      <c r="F45" s="164">
        <f t="shared" si="0"/>
        <v>107640</v>
      </c>
    </row>
    <row r="46" spans="1:6" ht="15">
      <c r="A46" s="12" t="s">
        <v>183</v>
      </c>
      <c r="B46" s="13" t="s">
        <v>46</v>
      </c>
      <c r="C46" s="13" t="s">
        <v>19</v>
      </c>
      <c r="D46" s="163">
        <f>SUMIF('Phan tich KL VL,NC,M'!C$8:C$182,B46,'Phan tich KL VL,NC,M'!G$8:G$182)</f>
        <v>15.768</v>
      </c>
      <c r="E46" s="163">
        <f>ROUND('Gia VL'!Q47/1000,5)</f>
        <v>16350</v>
      </c>
      <c r="F46" s="164">
        <f t="shared" si="0"/>
        <v>257806.80000000002</v>
      </c>
    </row>
    <row r="47" spans="1:6" ht="15">
      <c r="A47" s="12" t="s">
        <v>186</v>
      </c>
      <c r="B47" s="13" t="s">
        <v>38</v>
      </c>
      <c r="C47" s="13" t="s">
        <v>21</v>
      </c>
      <c r="D47" s="163">
        <f>SUMIF('Phan tich KL VL,NC,M'!C$8:C$182,B47,'Phan tich KL VL,NC,M'!G$8:G$182)</f>
        <v>2.2855039999999995</v>
      </c>
      <c r="E47" s="163">
        <f>'Gia VL'!Q48</f>
        <v>352698.9</v>
      </c>
      <c r="F47" s="164">
        <f t="shared" si="0"/>
        <v>806094.7467455999</v>
      </c>
    </row>
    <row r="48" spans="1:6" ht="15">
      <c r="A48" s="12" t="s">
        <v>188</v>
      </c>
      <c r="B48" s="13" t="s">
        <v>32</v>
      </c>
      <c r="C48" s="13" t="s">
        <v>21</v>
      </c>
      <c r="D48" s="163">
        <f>SUMIF('Phan tich KL VL,NC,M'!C$8:C$182,B48,'Phan tich KL VL,NC,M'!G$8:G$182)</f>
        <v>20.726319999999998</v>
      </c>
      <c r="E48" s="163">
        <f>'Gia VL'!Q54</f>
        <v>343607.9</v>
      </c>
      <c r="F48" s="164">
        <f t="shared" si="0"/>
        <v>7121727.2899279995</v>
      </c>
    </row>
    <row r="49" spans="1:6" ht="15">
      <c r="A49" s="12" t="s">
        <v>190</v>
      </c>
      <c r="B49" s="13" t="s">
        <v>22</v>
      </c>
      <c r="C49" s="13" t="s">
        <v>21</v>
      </c>
      <c r="D49" s="163">
        <f>SUMIF('Phan tich KL VL,NC,M'!C$8:C$182,B49,'Phan tich KL VL,NC,M'!G$8:G$182)</f>
        <v>4.45752</v>
      </c>
      <c r="E49" s="163">
        <f>'Gia VL'!Q60</f>
        <v>289062.9</v>
      </c>
      <c r="F49" s="164">
        <f t="shared" si="0"/>
        <v>1288503.658008</v>
      </c>
    </row>
    <row r="50" spans="1:6" ht="15">
      <c r="A50" s="12" t="s">
        <v>195</v>
      </c>
      <c r="B50" s="13" t="s">
        <v>169</v>
      </c>
      <c r="C50" s="13" t="s">
        <v>58</v>
      </c>
      <c r="D50" s="163">
        <f>SUMIF('Phan tich KL VL,NC,M'!C$8:C$182,B50,'Phan tich KL VL,NC,M'!G$8:G$182)</f>
        <v>32</v>
      </c>
      <c r="E50" s="163">
        <f>'Gia VL'!Q66</f>
        <v>50000</v>
      </c>
      <c r="F50" s="164">
        <f t="shared" si="0"/>
        <v>1600000</v>
      </c>
    </row>
    <row r="51" spans="1:6" ht="15">
      <c r="A51" s="12" t="s">
        <v>197</v>
      </c>
      <c r="B51" s="13" t="s">
        <v>101</v>
      </c>
      <c r="C51" s="13" t="s">
        <v>79</v>
      </c>
      <c r="D51" s="163">
        <f>SUMIF('Phan tich KL VL,NC,M'!C$8:C$182,B51,'Phan tich KL VL,NC,M'!G$8:G$182)</f>
        <v>6</v>
      </c>
      <c r="E51" s="163">
        <f>'Gia VL'!Q67</f>
        <v>9250</v>
      </c>
      <c r="F51" s="164">
        <f t="shared" si="0"/>
        <v>55500</v>
      </c>
    </row>
    <row r="52" spans="1:6" ht="15">
      <c r="A52" s="12" t="s">
        <v>199</v>
      </c>
      <c r="B52" s="13" t="s">
        <v>125</v>
      </c>
      <c r="C52" s="13" t="s">
        <v>126</v>
      </c>
      <c r="D52" s="163">
        <f>SUMIF('Phan tich KL VL,NC,M'!C$8:C$182,B52,'Phan tich KL VL,NC,M'!G$8:G$182)</f>
        <v>8</v>
      </c>
      <c r="E52" s="163">
        <f>'Gia VL'!Q68</f>
        <v>14800</v>
      </c>
      <c r="F52" s="164">
        <f t="shared" si="0"/>
        <v>118400</v>
      </c>
    </row>
    <row r="53" spans="1:6" ht="15">
      <c r="A53" s="12" t="s">
        <v>202</v>
      </c>
      <c r="B53" s="13" t="s">
        <v>89</v>
      </c>
      <c r="C53" s="13" t="s">
        <v>77</v>
      </c>
      <c r="D53" s="163">
        <f>SUMIF('Phan tich KL VL,NC,M'!C$8:C$182,B53,'Phan tich KL VL,NC,M'!G$8:G$182)</f>
        <v>36</v>
      </c>
      <c r="E53" s="163">
        <f>'Gia VL'!Q69</f>
        <v>8491000</v>
      </c>
      <c r="F53" s="164">
        <f t="shared" si="0"/>
        <v>305676000</v>
      </c>
    </row>
    <row r="54" spans="1:6" ht="15">
      <c r="A54" s="12" t="s">
        <v>204</v>
      </c>
      <c r="B54" s="13" t="s">
        <v>124</v>
      </c>
      <c r="C54" s="13" t="s">
        <v>103</v>
      </c>
      <c r="D54" s="163">
        <f>SUMIF('Phan tich KL VL,NC,M'!C$8:C$182,B54,'Phan tich KL VL,NC,M'!G$8:G$182)</f>
        <v>24</v>
      </c>
      <c r="E54" s="163">
        <f>'Gia VL'!Q70</f>
        <v>29300</v>
      </c>
      <c r="F54" s="164">
        <f t="shared" si="0"/>
        <v>703200</v>
      </c>
    </row>
    <row r="55" spans="1:6" ht="15">
      <c r="A55" s="12" t="s">
        <v>0</v>
      </c>
      <c r="B55" s="13" t="s">
        <v>0</v>
      </c>
      <c r="C55" s="13" t="s">
        <v>0</v>
      </c>
      <c r="D55" s="163">
        <f>SUMIF('Phan tich KL VL,NC,M'!C$8:C$182,B55,'Phan tich KL VL,NC,M'!G$8:G$182)</f>
        <v>0</v>
      </c>
      <c r="E55" s="163">
        <v>0</v>
      </c>
      <c r="F55" s="164"/>
    </row>
    <row r="56" spans="1:6" ht="15.75">
      <c r="A56" s="8" t="s">
        <v>0</v>
      </c>
      <c r="B56" s="9" t="s">
        <v>409</v>
      </c>
      <c r="C56" s="9" t="s">
        <v>0</v>
      </c>
      <c r="D56" s="161">
        <f>SUMIF('Phan tich KL VL,NC,M'!C$8:C$182,B56,'Phan tich KL VL,NC,M'!G$8:G$182)</f>
        <v>0</v>
      </c>
      <c r="E56" s="161">
        <v>0</v>
      </c>
      <c r="F56" s="162">
        <f>SUM(F57:F61)</f>
        <v>53624698.097705595</v>
      </c>
    </row>
    <row r="57" spans="1:6" ht="15">
      <c r="A57" s="12" t="s">
        <v>0</v>
      </c>
      <c r="B57" s="13" t="s">
        <v>0</v>
      </c>
      <c r="C57" s="13" t="s">
        <v>0</v>
      </c>
      <c r="D57" s="163">
        <f>SUMIF('Phan tich KL VL,NC,M'!C$8:C$182,B57,'Phan tich KL VL,NC,M'!G$8:G$182)</f>
        <v>0</v>
      </c>
      <c r="E57" s="163">
        <v>0</v>
      </c>
      <c r="F57" s="164"/>
    </row>
    <row r="58" spans="1:6" ht="15">
      <c r="A58" s="12" t="s">
        <v>206</v>
      </c>
      <c r="B58" s="13" t="s">
        <v>7</v>
      </c>
      <c r="C58" s="13" t="s">
        <v>8</v>
      </c>
      <c r="D58" s="163">
        <f>SUMIF('Phan tich KL VL,NC,M'!C$8:C$182,B58,'Phan tich KL VL,NC,M'!G$8:G$182)</f>
        <v>47.751868</v>
      </c>
      <c r="E58" s="163">
        <f>'Gia NC,CM'!P8</f>
        <v>218559.2</v>
      </c>
      <c r="F58" s="164">
        <f>D58*E58</f>
        <v>10436610.0685856</v>
      </c>
    </row>
    <row r="59" spans="1:6" ht="15">
      <c r="A59" s="12" t="s">
        <v>211</v>
      </c>
      <c r="B59" s="13" t="s">
        <v>24</v>
      </c>
      <c r="C59" s="13" t="s">
        <v>8</v>
      </c>
      <c r="D59" s="163">
        <f>SUMIF('Phan tich KL VL,NC,M'!C$8:C$182,B59,'Phan tich KL VL,NC,M'!G$8:G$182)</f>
        <v>36.2304</v>
      </c>
      <c r="E59" s="163">
        <f>'Gia NC,CM'!P9</f>
        <v>230630.3</v>
      </c>
      <c r="F59" s="164">
        <f>D59*E59</f>
        <v>8355828.021120001</v>
      </c>
    </row>
    <row r="60" spans="1:6" ht="15">
      <c r="A60" s="12" t="s">
        <v>214</v>
      </c>
      <c r="B60" s="13" t="s">
        <v>47</v>
      </c>
      <c r="C60" s="13" t="s">
        <v>8</v>
      </c>
      <c r="D60" s="163">
        <f>SUMIF('Phan tich KL VL,NC,M'!C$8:C$182,B60,'Phan tich KL VL,NC,M'!G$8:G$182)</f>
        <v>138.11363999999998</v>
      </c>
      <c r="E60" s="163">
        <f>'Gia NC,CM'!P10</f>
        <v>252200</v>
      </c>
      <c r="F60" s="164">
        <f>D60*E60</f>
        <v>34832260.007999994</v>
      </c>
    </row>
    <row r="61" spans="1:6" ht="15">
      <c r="A61" s="12" t="s">
        <v>0</v>
      </c>
      <c r="B61" s="13" t="s">
        <v>0</v>
      </c>
      <c r="C61" s="13" t="s">
        <v>0</v>
      </c>
      <c r="D61" s="163">
        <f>SUMIF('Phan tich KL VL,NC,M'!C$8:C$182,B61,'Phan tich KL VL,NC,M'!G$8:G$182)</f>
        <v>0</v>
      </c>
      <c r="E61" s="163">
        <v>0</v>
      </c>
      <c r="F61" s="164"/>
    </row>
    <row r="62" spans="1:6" ht="15.75">
      <c r="A62" s="8" t="s">
        <v>0</v>
      </c>
      <c r="B62" s="9" t="s">
        <v>408</v>
      </c>
      <c r="C62" s="9" t="s">
        <v>0</v>
      </c>
      <c r="D62" s="161">
        <f>SUMIF('Phan tich KL VL,NC,M'!C$8:C$182,B62,'Phan tich KL VL,NC,M'!G$8:G$182)</f>
        <v>0</v>
      </c>
      <c r="E62" s="161">
        <v>0</v>
      </c>
      <c r="F62" s="162">
        <f>SUM(F63:F75)</f>
        <v>37050505.46023208</v>
      </c>
    </row>
    <row r="63" spans="1:6" ht="15">
      <c r="A63" s="12" t="s">
        <v>0</v>
      </c>
      <c r="B63" s="13" t="s">
        <v>0</v>
      </c>
      <c r="C63" s="13" t="s">
        <v>0</v>
      </c>
      <c r="D63" s="163">
        <f>SUMIF('Phan tich KL VL,NC,M'!C$8:C$182,B63,'Phan tich KL VL,NC,M'!G$8:G$182)</f>
        <v>0</v>
      </c>
      <c r="E63" s="163">
        <v>0</v>
      </c>
      <c r="F63" s="164"/>
    </row>
    <row r="64" spans="1:6" ht="15">
      <c r="A64" s="12" t="s">
        <v>419</v>
      </c>
      <c r="B64" s="13" t="s">
        <v>59</v>
      </c>
      <c r="C64" s="13" t="s">
        <v>10</v>
      </c>
      <c r="D64" s="163">
        <f>SUMIF('Phan tich KL VL,NC,M'!C$8:C$182,B64,'Phan tich KL VL,NC,M'!G$8:G$182)</f>
        <v>4.8</v>
      </c>
      <c r="E64" s="163">
        <f>'Gia NC,CM'!P11</f>
        <v>1445506.2</v>
      </c>
      <c r="F64" s="164">
        <f aca="true" t="shared" si="1" ref="F64:F72">D64*E64</f>
        <v>6938429.76</v>
      </c>
    </row>
    <row r="65" spans="1:6" ht="15">
      <c r="A65" s="12" t="s">
        <v>418</v>
      </c>
      <c r="B65" s="13" t="s">
        <v>104</v>
      </c>
      <c r="C65" s="13" t="s">
        <v>10</v>
      </c>
      <c r="D65" s="163">
        <f>SUMIF('Phan tich KL VL,NC,M'!C$8:C$182,B65,'Phan tich KL VL,NC,M'!G$8:G$182)</f>
        <v>0.9999999999999999</v>
      </c>
      <c r="E65" s="163">
        <f>'Gia NC,CM'!P12</f>
        <v>409418.3</v>
      </c>
      <c r="F65" s="164">
        <f t="shared" si="1"/>
        <v>409418.29999999993</v>
      </c>
    </row>
    <row r="66" spans="1:6" ht="15">
      <c r="A66" s="12" t="s">
        <v>417</v>
      </c>
      <c r="B66" s="13" t="s">
        <v>25</v>
      </c>
      <c r="C66" s="13" t="s">
        <v>10</v>
      </c>
      <c r="D66" s="163">
        <f>SUMIF('Phan tich KL VL,NC,M'!C$8:C$182,B66,'Phan tich KL VL,NC,M'!G$8:G$182)</f>
        <v>2.8575999999999997</v>
      </c>
      <c r="E66" s="163">
        <f>'Gia NC,CM'!P13</f>
        <v>318885.3</v>
      </c>
      <c r="F66" s="164">
        <f t="shared" si="1"/>
        <v>911246.6332799998</v>
      </c>
    </row>
    <row r="67" spans="1:6" ht="15">
      <c r="A67" s="12" t="s">
        <v>416</v>
      </c>
      <c r="B67" s="13" t="s">
        <v>9</v>
      </c>
      <c r="C67" s="13" t="s">
        <v>10</v>
      </c>
      <c r="D67" s="163">
        <f>SUMIF('Phan tich KL VL,NC,M'!C$8:C$182,B67,'Phan tich KL VL,NC,M'!G$8:G$182)</f>
        <v>1.9963632000000002</v>
      </c>
      <c r="E67" s="163">
        <f>'Gia NC,CM'!P14</f>
        <v>1786191.9</v>
      </c>
      <c r="F67" s="164">
        <f t="shared" si="1"/>
        <v>3565887.7772980803</v>
      </c>
    </row>
    <row r="68" spans="1:6" ht="15">
      <c r="A68" s="12" t="s">
        <v>415</v>
      </c>
      <c r="B68" s="13" t="s">
        <v>26</v>
      </c>
      <c r="C68" s="13" t="s">
        <v>10</v>
      </c>
      <c r="D68" s="163">
        <f>SUMIF('Phan tich KL VL,NC,M'!C$8:C$182,B68,'Phan tich KL VL,NC,M'!G$8:G$182)</f>
        <v>0.42719999999999997</v>
      </c>
      <c r="E68" s="163">
        <f>'Gia NC,CM'!P15</f>
        <v>270954</v>
      </c>
      <c r="F68" s="164">
        <f t="shared" si="1"/>
        <v>115751.54879999999</v>
      </c>
    </row>
    <row r="69" spans="1:6" ht="15">
      <c r="A69" s="12" t="s">
        <v>414</v>
      </c>
      <c r="B69" s="13" t="s">
        <v>33</v>
      </c>
      <c r="C69" s="13" t="s">
        <v>10</v>
      </c>
      <c r="D69" s="163">
        <f>SUMIF('Phan tich KL VL,NC,M'!C$8:C$182,B69,'Phan tich KL VL,NC,M'!G$8:G$182)</f>
        <v>2.24992</v>
      </c>
      <c r="E69" s="163">
        <f>'Gia NC,CM'!P16</f>
        <v>274861.2</v>
      </c>
      <c r="F69" s="164">
        <f t="shared" si="1"/>
        <v>618415.711104</v>
      </c>
    </row>
    <row r="70" spans="1:6" ht="15">
      <c r="A70" s="12" t="s">
        <v>413</v>
      </c>
      <c r="B70" s="13" t="s">
        <v>52</v>
      </c>
      <c r="C70" s="13" t="s">
        <v>10</v>
      </c>
      <c r="D70" s="163">
        <f>SUMIF('Phan tich KL VL,NC,M'!C$8:C$182,B70,'Phan tich KL VL,NC,M'!G$8:G$182)</f>
        <v>6.990780000000001</v>
      </c>
      <c r="E70" s="163">
        <f>'Gia NC,CM'!P17</f>
        <v>377262.5</v>
      </c>
      <c r="F70" s="164">
        <f t="shared" si="1"/>
        <v>2637359.1397500006</v>
      </c>
    </row>
    <row r="71" spans="1:6" ht="15">
      <c r="A71" s="12" t="s">
        <v>412</v>
      </c>
      <c r="B71" s="13" t="s">
        <v>80</v>
      </c>
      <c r="C71" s="13" t="s">
        <v>10</v>
      </c>
      <c r="D71" s="163">
        <f>SUMIF('Phan tich KL VL,NC,M'!C$8:C$182,B71,'Phan tich KL VL,NC,M'!G$8:G$182)</f>
        <v>13.9625</v>
      </c>
      <c r="E71" s="163">
        <f>'Gia NC,CM'!P18</f>
        <v>1516322.4</v>
      </c>
      <c r="F71" s="164">
        <f t="shared" si="1"/>
        <v>21171651.509999998</v>
      </c>
    </row>
    <row r="72" spans="1:6" ht="15">
      <c r="A72" s="12" t="s">
        <v>411</v>
      </c>
      <c r="B72" s="13" t="s">
        <v>105</v>
      </c>
      <c r="C72" s="13" t="s">
        <v>10</v>
      </c>
      <c r="D72" s="163">
        <f>SUMIF('Phan tich KL VL,NC,M'!C$8:C$182,B72,'Phan tich KL VL,NC,M'!G$8:G$182)</f>
        <v>0.44999999999999996</v>
      </c>
      <c r="E72" s="163">
        <f>'Gia NC,CM'!P19</f>
        <v>1516322.4</v>
      </c>
      <c r="F72" s="164">
        <f t="shared" si="1"/>
        <v>682345.0799999998</v>
      </c>
    </row>
    <row r="73" spans="1:6" ht="15">
      <c r="A73" s="12" t="s">
        <v>0</v>
      </c>
      <c r="B73" s="13" t="s">
        <v>0</v>
      </c>
      <c r="C73" s="13" t="s">
        <v>0</v>
      </c>
      <c r="D73" s="163">
        <f>SUMIF('Phan tich KL VL,NC,M'!C$8:C$182,B73,'Phan tich KL VL,NC,M'!G$8:G$182)</f>
        <v>0</v>
      </c>
      <c r="E73" s="163">
        <v>0</v>
      </c>
      <c r="F73" s="164"/>
    </row>
    <row r="74" spans="1:6" ht="15.75">
      <c r="A74" s="8" t="s">
        <v>0</v>
      </c>
      <c r="B74" s="9" t="s">
        <v>170</v>
      </c>
      <c r="C74" s="9" t="s">
        <v>0</v>
      </c>
      <c r="D74" s="161">
        <f>SUMIF('Phan tich KL VL,NC,M'!C$182:C$252,B74,'Phan tich KL VL,NC,M'!G$182:G$252)</f>
        <v>0</v>
      </c>
      <c r="E74" s="161">
        <v>0</v>
      </c>
      <c r="F74" s="162"/>
    </row>
    <row r="75" spans="1:6" ht="15">
      <c r="A75" s="12" t="s">
        <v>0</v>
      </c>
      <c r="B75" s="13" t="s">
        <v>0</v>
      </c>
      <c r="C75" s="13" t="s">
        <v>0</v>
      </c>
      <c r="D75" s="163">
        <f>SUMIF('Phan tich KL VL,NC,M'!C$182:C$252,B75,'Phan tich KL VL,NC,M'!G$182:G$252)</f>
        <v>0</v>
      </c>
      <c r="E75" s="163">
        <v>0</v>
      </c>
      <c r="F75" s="164"/>
    </row>
    <row r="76" spans="1:6" ht="15.75">
      <c r="A76" s="8" t="s">
        <v>0</v>
      </c>
      <c r="B76" s="9" t="s">
        <v>410</v>
      </c>
      <c r="C76" s="9" t="s">
        <v>0</v>
      </c>
      <c r="D76" s="161">
        <f>SUMIF('Phan tich KL VL,NC,M'!C$182:C$252,B76,'Phan tich KL VL,NC,M'!G$182:G$252)</f>
        <v>0</v>
      </c>
      <c r="E76" s="161">
        <v>0</v>
      </c>
      <c r="F76" s="162">
        <f>SUM(F77:F78)</f>
        <v>0</v>
      </c>
    </row>
    <row r="77" spans="1:6" ht="15">
      <c r="A77" s="12" t="s">
        <v>0</v>
      </c>
      <c r="B77" s="13" t="s">
        <v>0</v>
      </c>
      <c r="C77" s="13" t="s">
        <v>0</v>
      </c>
      <c r="D77" s="163">
        <f>SUMIF('Phan tich KL VL,NC,M'!C$182:C$252,B77,'Phan tich KL VL,NC,M'!G$182:G$252)</f>
        <v>0</v>
      </c>
      <c r="E77" s="163">
        <v>0</v>
      </c>
      <c r="F77" s="164"/>
    </row>
    <row r="78" spans="1:6" ht="15">
      <c r="A78" s="12" t="s">
        <v>0</v>
      </c>
      <c r="B78" s="13" t="s">
        <v>0</v>
      </c>
      <c r="C78" s="13" t="s">
        <v>0</v>
      </c>
      <c r="D78" s="163">
        <f>SUMIF('Phan tich KL VL,NC,M'!C$182:C$252,B78,'Phan tich KL VL,NC,M'!G$182:G$252)</f>
        <v>0</v>
      </c>
      <c r="E78" s="163">
        <v>0</v>
      </c>
      <c r="F78" s="164"/>
    </row>
    <row r="79" spans="1:6" ht="15.75">
      <c r="A79" s="8" t="s">
        <v>0</v>
      </c>
      <c r="B79" s="9" t="s">
        <v>409</v>
      </c>
      <c r="C79" s="9" t="s">
        <v>0</v>
      </c>
      <c r="D79" s="161">
        <f>SUMIF('Phan tich KL VL,NC,M'!C$182:C$252,B79,'Phan tich KL VL,NC,M'!G$182:G$252)</f>
        <v>0</v>
      </c>
      <c r="E79" s="161">
        <v>0</v>
      </c>
      <c r="F79" s="162" t="e">
        <f>SUM(F80:F82)</f>
        <v>#REF!</v>
      </c>
    </row>
    <row r="80" spans="1:6" ht="15">
      <c r="A80" s="12" t="s">
        <v>0</v>
      </c>
      <c r="B80" s="13" t="s">
        <v>0</v>
      </c>
      <c r="C80" s="13" t="s">
        <v>0</v>
      </c>
      <c r="D80" s="163">
        <f>SUMIF('Phan tich KL VL,NC,M'!C$182:C$252,B80,'Phan tich KL VL,NC,M'!G$182:G$252)</f>
        <v>0</v>
      </c>
      <c r="E80" s="163">
        <v>0</v>
      </c>
      <c r="F80" s="164"/>
    </row>
    <row r="81" spans="1:6" ht="15">
      <c r="A81" s="12" t="s">
        <v>2</v>
      </c>
      <c r="B81" s="13" t="s">
        <v>7</v>
      </c>
      <c r="C81" s="13" t="s">
        <v>8</v>
      </c>
      <c r="D81" s="163" t="e">
        <f>SUMIF('Phan tich KL VL,NC,M'!C$182:C$252,B81,'Phan tich KL VL,NC,M'!G$182:G$252)</f>
        <v>#REF!</v>
      </c>
      <c r="E81" s="163">
        <f>'Gia NC,CM'!P8</f>
        <v>218559.2</v>
      </c>
      <c r="F81" s="164" t="e">
        <f>D81*E81</f>
        <v>#REF!</v>
      </c>
    </row>
    <row r="82" spans="1:6" ht="15">
      <c r="A82" s="12" t="s">
        <v>0</v>
      </c>
      <c r="B82" s="13" t="s">
        <v>0</v>
      </c>
      <c r="C82" s="13" t="s">
        <v>0</v>
      </c>
      <c r="D82" s="163">
        <f>SUMIF('Phan tich KL VL,NC,M'!C$182:C$252,B82,'Phan tich KL VL,NC,M'!G$182:G$252)</f>
        <v>0</v>
      </c>
      <c r="E82" s="163">
        <v>0</v>
      </c>
      <c r="F82" s="164"/>
    </row>
    <row r="83" spans="1:6" ht="15.75">
      <c r="A83" s="8" t="s">
        <v>0</v>
      </c>
      <c r="B83" s="9" t="s">
        <v>408</v>
      </c>
      <c r="C83" s="9" t="s">
        <v>0</v>
      </c>
      <c r="D83" s="161">
        <f>SUMIF('Phan tich KL VL,NC,M'!C$182:C$252,B83,'Phan tich KL VL,NC,M'!G$182:G$252)</f>
        <v>0</v>
      </c>
      <c r="E83" s="161">
        <v>0</v>
      </c>
      <c r="F83" s="162" t="e">
        <f>SUM(F84:F86)</f>
        <v>#REF!</v>
      </c>
    </row>
    <row r="84" spans="1:6" ht="15">
      <c r="A84" s="12" t="s">
        <v>0</v>
      </c>
      <c r="B84" s="13" t="s">
        <v>0</v>
      </c>
      <c r="C84" s="13" t="s">
        <v>0</v>
      </c>
      <c r="D84" s="163">
        <f>SUMIF('Phan tich KL VL,NC,M'!C$182:C$252,B84,'Phan tich KL VL,NC,M'!G$182:G$252)</f>
        <v>0</v>
      </c>
      <c r="E84" s="163">
        <v>0</v>
      </c>
      <c r="F84" s="164"/>
    </row>
    <row r="85" spans="1:6" ht="15">
      <c r="A85" s="12" t="s">
        <v>11</v>
      </c>
      <c r="B85" s="13" t="s">
        <v>176</v>
      </c>
      <c r="C85" s="13" t="s">
        <v>10</v>
      </c>
      <c r="D85" s="163" t="e">
        <f>SUMIF('Phan tich KL VL,NC,M'!C$182:C$252,B85,'Phan tich KL VL,NC,M'!G$182:G$252)</f>
        <v>#REF!</v>
      </c>
      <c r="E85" s="163">
        <f>'Gia NC,CM'!P20</f>
        <v>1738258.8</v>
      </c>
      <c r="F85" s="164" t="e">
        <f>D85*E85</f>
        <v>#REF!</v>
      </c>
    </row>
    <row r="86" spans="1:6" ht="15.75" thickBot="1">
      <c r="A86" s="16" t="s">
        <v>14</v>
      </c>
      <c r="B86" s="17" t="s">
        <v>194</v>
      </c>
      <c r="C86" s="17" t="s">
        <v>10</v>
      </c>
      <c r="D86" s="165" t="e">
        <f>SUMIF('Phan tich KL VL,NC,M'!C$182:C$252,B86,'Phan tich KL VL,NC,M'!G$182:G$252)</f>
        <v>#REF!</v>
      </c>
      <c r="E86" s="165">
        <f>'Gia NC,CM'!P21</f>
        <v>1271517.9</v>
      </c>
      <c r="F86" s="166" t="e">
        <f>D86*E86</f>
        <v>#REF!</v>
      </c>
    </row>
  </sheetData>
  <sheetProtection/>
  <mergeCells count="4">
    <mergeCell ref="A1:F1"/>
    <mergeCell ref="A3:F3"/>
    <mergeCell ref="A4:F4"/>
    <mergeCell ref="A5:F5"/>
  </mergeCells>
  <printOptions horizontalCentered="1"/>
  <pageMargins left="0.75" right="0.5" top="0.75" bottom="0.75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AutoBVT</cp:lastModifiedBy>
  <cp:lastPrinted>2023-09-01T02:40:01Z</cp:lastPrinted>
  <dcterms:created xsi:type="dcterms:W3CDTF">2023-08-20T12:31:54Z</dcterms:created>
  <dcterms:modified xsi:type="dcterms:W3CDTF">2023-09-13T08:45:08Z</dcterms:modified>
  <cp:category/>
  <cp:version/>
  <cp:contentType/>
  <cp:contentStatus/>
</cp:coreProperties>
</file>